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codeName="ThisWorkbook" defaultThemeVersion="124226"/>
  <mc:AlternateContent xmlns:mc="http://schemas.openxmlformats.org/markup-compatibility/2006">
    <mc:Choice Requires="x15">
      <x15ac:absPath xmlns:x15ac="http://schemas.microsoft.com/office/spreadsheetml/2010/11/ac" url="H:\areljic\AUDIT\FY 2026\Budget\"/>
    </mc:Choice>
  </mc:AlternateContent>
  <xr:revisionPtr revIDLastSave="0" documentId="13_ncr:1_{D6E51A30-1607-4BA6-8D7E-FB89876F524F}" xr6:coauthVersionLast="47" xr6:coauthVersionMax="47" xr10:uidLastSave="{00000000-0000-0000-0000-000000000000}"/>
  <workbookProtection workbookAlgorithmName="SHA-512" workbookHashValue="k+i+5D/0kcDbhtwF3RxudMY0YrzDA988PdCXFJNZrCz6dWbTMs8+6gsAAykfQ7wiggOuW5xcFIs8mURvBpmk4w==" workbookSaltValue="UBcgBoe3usNuRs3HWb2FtQ==" workbookSpinCount="100000" lockStructure="1"/>
  <bookViews>
    <workbookView xWindow="18855" yWindow="735" windowWidth="27855" windowHeight="15285" tabRatio="589" xr2:uid="{00000000-000D-0000-FFFF-FFFF00000000}"/>
  </bookViews>
  <sheets>
    <sheet name="Summary" sheetId="12" r:id="rId1"/>
    <sheet name="Requirements" sheetId="19" r:id="rId2"/>
    <sheet name="Title III" sheetId="2" r:id="rId3"/>
    <sheet name="Title III-E" sheetId="18" r:id="rId4"/>
    <sheet name="III-E Grandparents" sheetId="17" r:id="rId5"/>
    <sheet name="CCEVP" sheetId="20" r:id="rId6"/>
    <sheet name="Respite" sheetId="26" r:id="rId7"/>
    <sheet name="FEDERAL" sheetId="21" r:id="rId8"/>
    <sheet name="GENERAL 3-4" sheetId="22" r:id="rId9"/>
    <sheet name="GENERAL 1-4" sheetId="23" r:id="rId10"/>
    <sheet name="NSIP" sheetId="24" r:id="rId11"/>
    <sheet name="DMAS OMB" sheetId="25" r:id="rId12"/>
  </sheets>
  <definedNames>
    <definedName name="_xlnm.Print_Area" localSheetId="11">'DMAS OMB'!$A$1:$E$36</definedName>
    <definedName name="_xlnm.Print_Area" localSheetId="7">FEDERAL!$A$1:$I$36</definedName>
    <definedName name="_xlnm.Print_Area" localSheetId="8">'GENERAL 3-4'!$A$1:$I$39</definedName>
    <definedName name="_xlnm.Print_Area" localSheetId="4">'III-E Grandparents'!$A$1:$AF$32</definedName>
    <definedName name="_xlnm.Print_Area" localSheetId="1">Requirements!$A$1:$H$62</definedName>
    <definedName name="_xlnm.Print_Area" localSheetId="0">Summary!$A$1:$K$31</definedName>
    <definedName name="_xlnm.Print_Area" localSheetId="2">'Title III'!$A$1:$AP$42</definedName>
    <definedName name="_xlnm.Print_Area" localSheetId="3">'Title III-E'!$A$1:$AE$32</definedName>
    <definedName name="_xlnm.Print_Titles" localSheetId="4">'III-E Grandparents'!$A:$B,'III-E Grandparents'!$1:$1</definedName>
    <definedName name="_xlnm.Print_Titles" localSheetId="2">'Title III'!$A:$B,'Title III'!$1:$1</definedName>
    <definedName name="_xlnm.Print_Titles" localSheetId="3">'Title III-E'!$A:$B,'Title III-E'!$1:$1</definedName>
  </definedNames>
  <calcPr calcId="191028"/>
</workbook>
</file>

<file path=xl/calcChain.xml><?xml version="1.0" encoding="utf-8"?>
<calcChain xmlns="http://schemas.openxmlformats.org/spreadsheetml/2006/main">
  <c r="AN8" i="2" l="1"/>
  <c r="AD22" i="17" l="1"/>
  <c r="AD20" i="17"/>
  <c r="AD19" i="17"/>
  <c r="AD18" i="17"/>
  <c r="AD17" i="17"/>
  <c r="AD16" i="17"/>
  <c r="AD15" i="17"/>
  <c r="AD13" i="17"/>
  <c r="AD12" i="17"/>
  <c r="AD10" i="17"/>
  <c r="AD9" i="17"/>
  <c r="AD8" i="17"/>
  <c r="AD6" i="17"/>
  <c r="AC21" i="17"/>
  <c r="AC26" i="17"/>
  <c r="AC26" i="18"/>
  <c r="AC21" i="18"/>
  <c r="AB21" i="18"/>
  <c r="AB26" i="18"/>
  <c r="AM36" i="2"/>
  <c r="AM30" i="2"/>
  <c r="AM39" i="2"/>
  <c r="AM38" i="2"/>
  <c r="A51" i="19"/>
  <c r="D32" i="19"/>
  <c r="AG36" i="2"/>
  <c r="AG30" i="2"/>
  <c r="AG38" i="2"/>
  <c r="AG39" i="2"/>
  <c r="D31" i="19"/>
  <c r="D33" i="19"/>
  <c r="C33" i="19"/>
  <c r="C32" i="19"/>
  <c r="C31" i="19"/>
  <c r="C28" i="19"/>
  <c r="D28" i="19"/>
  <c r="D27" i="19"/>
  <c r="C27" i="19"/>
  <c r="D26" i="19"/>
  <c r="C26" i="19"/>
  <c r="AB30" i="2"/>
  <c r="AA30" i="2"/>
  <c r="Z30" i="2"/>
  <c r="I21" i="18"/>
  <c r="I21" i="17"/>
  <c r="AB38" i="2"/>
  <c r="AB39" i="2"/>
  <c r="AA38" i="2"/>
  <c r="AA39" i="2"/>
  <c r="Z38" i="2"/>
  <c r="Z39" i="2"/>
  <c r="G11" i="19"/>
  <c r="G10" i="19"/>
  <c r="X21" i="17"/>
  <c r="X26" i="17"/>
  <c r="S26" i="17"/>
  <c r="R26" i="17"/>
  <c r="Q26" i="17"/>
  <c r="P26" i="17"/>
  <c r="O26" i="17"/>
  <c r="S21" i="17"/>
  <c r="R21" i="17"/>
  <c r="Q21" i="17"/>
  <c r="P21" i="17"/>
  <c r="O21" i="17"/>
  <c r="R26" i="18"/>
  <c r="R21" i="18"/>
  <c r="W26" i="18"/>
  <c r="W21" i="18"/>
  <c r="Q26" i="18"/>
  <c r="Q21" i="18"/>
  <c r="P26" i="18"/>
  <c r="P21" i="18"/>
  <c r="S26" i="18"/>
  <c r="S21" i="18"/>
  <c r="X36" i="2"/>
  <c r="X30" i="2"/>
  <c r="X38" i="2"/>
  <c r="W36" i="2"/>
  <c r="W30" i="2"/>
  <c r="AA36" i="2"/>
  <c r="Z36" i="2"/>
  <c r="AB36" i="2"/>
  <c r="L26" i="17"/>
  <c r="K26" i="17"/>
  <c r="L21" i="17"/>
  <c r="K21" i="17"/>
  <c r="L26" i="18"/>
  <c r="K26" i="18"/>
  <c r="L21" i="18"/>
  <c r="K21" i="18"/>
  <c r="W38" i="2"/>
  <c r="W39" i="2"/>
  <c r="Z26" i="17"/>
  <c r="Y26" i="17"/>
  <c r="Z21" i="17"/>
  <c r="Y21" i="17"/>
  <c r="W26" i="17"/>
  <c r="V26" i="17"/>
  <c r="W21" i="17"/>
  <c r="V21" i="17"/>
  <c r="I26" i="17"/>
  <c r="G26" i="17"/>
  <c r="G21" i="17"/>
  <c r="F26" i="17"/>
  <c r="F21" i="17"/>
  <c r="G26" i="18"/>
  <c r="G21" i="18"/>
  <c r="F26" i="18"/>
  <c r="F21" i="18"/>
  <c r="X26" i="18"/>
  <c r="V26" i="18"/>
  <c r="X21" i="18"/>
  <c r="V21" i="18"/>
  <c r="Z26" i="18"/>
  <c r="Y26" i="18"/>
  <c r="Z21" i="18"/>
  <c r="Y21" i="18"/>
  <c r="I26" i="18"/>
  <c r="H26" i="17"/>
  <c r="H21" i="17"/>
  <c r="H26" i="18"/>
  <c r="H21" i="18"/>
  <c r="AF30" i="2"/>
  <c r="AF38" i="2" s="1"/>
  <c r="S30" i="2"/>
  <c r="S39" i="2" s="1"/>
  <c r="P30" i="2"/>
  <c r="P39" i="2" s="1"/>
  <c r="Q30" i="2"/>
  <c r="Q38" i="2" s="1"/>
  <c r="R30" i="2"/>
  <c r="R39" i="2"/>
  <c r="R36" i="2"/>
  <c r="R38" i="2"/>
  <c r="B20" i="20"/>
  <c r="A25" i="26"/>
  <c r="A42" i="2"/>
  <c r="I17" i="26"/>
  <c r="H16" i="26"/>
  <c r="G16" i="26"/>
  <c r="F16" i="26"/>
  <c r="E16" i="26"/>
  <c r="D16" i="26"/>
  <c r="C16" i="26"/>
  <c r="C18" i="26"/>
  <c r="I15" i="26"/>
  <c r="I14" i="26"/>
  <c r="I13" i="26"/>
  <c r="I12" i="26"/>
  <c r="H10" i="26"/>
  <c r="H18" i="26"/>
  <c r="G10" i="26"/>
  <c r="F10" i="26"/>
  <c r="E10" i="26"/>
  <c r="E18" i="26"/>
  <c r="D10" i="26"/>
  <c r="D18" i="26"/>
  <c r="C10" i="26"/>
  <c r="I9" i="26"/>
  <c r="I8" i="26"/>
  <c r="I7" i="26"/>
  <c r="I10" i="26"/>
  <c r="I16" i="26"/>
  <c r="F18" i="26"/>
  <c r="G18" i="26"/>
  <c r="I18" i="26"/>
  <c r="D33" i="25"/>
  <c r="C33" i="25"/>
  <c r="H32" i="23"/>
  <c r="H32" i="22"/>
  <c r="H32" i="21"/>
  <c r="G32" i="21"/>
  <c r="F32" i="21"/>
  <c r="E32" i="21"/>
  <c r="D32" i="21"/>
  <c r="C32" i="21"/>
  <c r="B32" i="21"/>
  <c r="D22" i="26"/>
  <c r="D21" i="26"/>
  <c r="D23" i="26"/>
  <c r="AN30" i="2"/>
  <c r="D11" i="19" s="1"/>
  <c r="AL30" i="2"/>
  <c r="AK30" i="2"/>
  <c r="AJ30" i="2"/>
  <c r="AJ38" i="2" s="1"/>
  <c r="AI30" i="2"/>
  <c r="AH30" i="2"/>
  <c r="AE30" i="2"/>
  <c r="AD30" i="2"/>
  <c r="AC30" i="2"/>
  <c r="Y30" i="2"/>
  <c r="V30" i="2"/>
  <c r="U30" i="2"/>
  <c r="U39" i="2" s="1"/>
  <c r="T30" i="2"/>
  <c r="T38" i="2" s="1"/>
  <c r="O30" i="2"/>
  <c r="N30" i="2"/>
  <c r="N38" i="2" s="1"/>
  <c r="M30" i="2"/>
  <c r="M39" i="2" s="1"/>
  <c r="L30" i="2"/>
  <c r="L39" i="2" s="1"/>
  <c r="K30" i="2"/>
  <c r="K39" i="2"/>
  <c r="J30" i="2"/>
  <c r="J39" i="2"/>
  <c r="H30" i="2"/>
  <c r="H38" i="2" s="1"/>
  <c r="G30" i="2"/>
  <c r="G39" i="2"/>
  <c r="F30" i="2"/>
  <c r="F38" i="2" s="1"/>
  <c r="E30" i="2"/>
  <c r="E38" i="2" s="1"/>
  <c r="D30" i="2"/>
  <c r="D39" i="2" s="1"/>
  <c r="C30" i="2"/>
  <c r="C39" i="2"/>
  <c r="I30" i="2"/>
  <c r="I39" i="2"/>
  <c r="AO29" i="2"/>
  <c r="G46" i="19"/>
  <c r="AO28" i="2"/>
  <c r="G45" i="19" s="1"/>
  <c r="AA26" i="17"/>
  <c r="AB21" i="17"/>
  <c r="AA21" i="17"/>
  <c r="U21" i="17"/>
  <c r="T21" i="17"/>
  <c r="N21" i="17"/>
  <c r="M21" i="17"/>
  <c r="J21" i="17"/>
  <c r="E21" i="17"/>
  <c r="D21" i="17"/>
  <c r="C21" i="17"/>
  <c r="AD21" i="18"/>
  <c r="G6" i="19" s="1"/>
  <c r="AA21" i="18"/>
  <c r="U21" i="18"/>
  <c r="U26" i="18" s="1"/>
  <c r="T21" i="18"/>
  <c r="O21" i="18"/>
  <c r="N21" i="18"/>
  <c r="M21" i="18"/>
  <c r="J21" i="18"/>
  <c r="E21" i="18"/>
  <c r="D21" i="18"/>
  <c r="D26" i="18"/>
  <c r="AE20" i="18"/>
  <c r="C21" i="18"/>
  <c r="C26" i="18"/>
  <c r="AF20" i="17"/>
  <c r="C25" i="12"/>
  <c r="C26" i="12" s="1"/>
  <c r="C32" i="24"/>
  <c r="B32" i="24"/>
  <c r="D32" i="24"/>
  <c r="D32" i="22"/>
  <c r="E32" i="23"/>
  <c r="E32" i="22"/>
  <c r="B32" i="23"/>
  <c r="F32" i="23"/>
  <c r="C32" i="22"/>
  <c r="G32" i="22"/>
  <c r="D32" i="23"/>
  <c r="B32" i="22"/>
  <c r="F32" i="22"/>
  <c r="C32" i="23"/>
  <c r="G32" i="23"/>
  <c r="E32" i="24"/>
  <c r="V36" i="2"/>
  <c r="V39" i="2"/>
  <c r="V38" i="2"/>
  <c r="C15" i="19"/>
  <c r="J36" i="2"/>
  <c r="D44" i="19"/>
  <c r="F1" i="19"/>
  <c r="D18" i="19"/>
  <c r="C18" i="19" s="1"/>
  <c r="F80" i="12"/>
  <c r="C5" i="12"/>
  <c r="D43" i="19"/>
  <c r="D46" i="19"/>
  <c r="D40" i="19"/>
  <c r="C40" i="19"/>
  <c r="B1" i="12"/>
  <c r="B1" i="26" s="1"/>
  <c r="I5" i="12"/>
  <c r="H5" i="12"/>
  <c r="I15" i="12"/>
  <c r="H15" i="12"/>
  <c r="G15" i="12"/>
  <c r="F15" i="12"/>
  <c r="D39" i="19"/>
  <c r="E15" i="12"/>
  <c r="E17" i="12" s="1"/>
  <c r="D38" i="19"/>
  <c r="D15" i="12"/>
  <c r="D37" i="19"/>
  <c r="C15" i="12"/>
  <c r="I13" i="12"/>
  <c r="H13" i="12"/>
  <c r="G13" i="12"/>
  <c r="F13" i="12"/>
  <c r="C39" i="19"/>
  <c r="E13" i="12"/>
  <c r="C38" i="19"/>
  <c r="D13" i="12"/>
  <c r="C37" i="19"/>
  <c r="C13" i="12"/>
  <c r="J5" i="12"/>
  <c r="J7" i="12" s="1"/>
  <c r="G5" i="12"/>
  <c r="F5" i="12"/>
  <c r="F7" i="12" s="1"/>
  <c r="E5" i="12"/>
  <c r="D45" i="19"/>
  <c r="D5" i="12"/>
  <c r="AD36" i="2"/>
  <c r="G41" i="19"/>
  <c r="X39" i="2"/>
  <c r="C17" i="12"/>
  <c r="K36" i="2"/>
  <c r="H36" i="2"/>
  <c r="AO26" i="2"/>
  <c r="H18" i="12" s="1"/>
  <c r="H19" i="12" s="1"/>
  <c r="H21" i="12" s="1"/>
  <c r="K38" i="2"/>
  <c r="I7" i="12"/>
  <c r="I17" i="12"/>
  <c r="G17" i="12"/>
  <c r="H17" i="12"/>
  <c r="AC40" i="2"/>
  <c r="Y40" i="2"/>
  <c r="U40" i="2"/>
  <c r="C10" i="19"/>
  <c r="C12" i="19"/>
  <c r="C11" i="19"/>
  <c r="J38" i="2"/>
  <c r="AE19" i="17"/>
  <c r="F17" i="12"/>
  <c r="AE19" i="18"/>
  <c r="AO25" i="2"/>
  <c r="G18" i="12" s="1"/>
  <c r="G19" i="12" s="1"/>
  <c r="G21" i="12" s="1"/>
  <c r="AD38" i="2"/>
  <c r="AD39" i="2"/>
  <c r="AF19" i="17"/>
  <c r="H7" i="12"/>
  <c r="G7" i="12"/>
  <c r="M36" i="2"/>
  <c r="M38" i="2"/>
  <c r="AO6" i="2"/>
  <c r="C21" i="19" s="1"/>
  <c r="AO24" i="2"/>
  <c r="AO21" i="2"/>
  <c r="AE39" i="2"/>
  <c r="AO9" i="2"/>
  <c r="AO14" i="2"/>
  <c r="AO22" i="2"/>
  <c r="AE16" i="18"/>
  <c r="D17" i="12"/>
  <c r="AO23" i="2"/>
  <c r="E18" i="12" s="1"/>
  <c r="AO27" i="2"/>
  <c r="I18" i="12" s="1"/>
  <c r="AO31" i="2"/>
  <c r="AO7" i="2"/>
  <c r="D8" i="12" s="1"/>
  <c r="AE18" i="18"/>
  <c r="AE17" i="18"/>
  <c r="G15" i="19"/>
  <c r="AE15" i="18"/>
  <c r="AF15" i="17" s="1"/>
  <c r="AE9" i="18"/>
  <c r="AF9" i="17" s="1"/>
  <c r="AE8" i="18"/>
  <c r="AE10" i="18"/>
  <c r="AE12" i="18"/>
  <c r="AE13" i="18"/>
  <c r="O36" i="2"/>
  <c r="C1" i="20"/>
  <c r="AB26" i="17"/>
  <c r="N26" i="17"/>
  <c r="U26" i="17"/>
  <c r="T26" i="17"/>
  <c r="M26" i="17"/>
  <c r="J26" i="17"/>
  <c r="E26" i="17"/>
  <c r="D26" i="17"/>
  <c r="C26" i="17"/>
  <c r="A32" i="17"/>
  <c r="B1" i="17"/>
  <c r="AE22" i="18"/>
  <c r="B1" i="19"/>
  <c r="AO13" i="2"/>
  <c r="E7" i="12"/>
  <c r="D7" i="12"/>
  <c r="C7" i="12"/>
  <c r="AO11" i="2"/>
  <c r="H8" i="12" s="1"/>
  <c r="AO19" i="2"/>
  <c r="I8" i="12" s="1"/>
  <c r="AO17" i="2"/>
  <c r="C27" i="12" s="1"/>
  <c r="AO10" i="2"/>
  <c r="J8" i="12" s="1"/>
  <c r="AO18" i="2"/>
  <c r="AO15" i="2"/>
  <c r="AK36" i="2"/>
  <c r="AI36" i="2"/>
  <c r="AH36" i="2"/>
  <c r="AE36" i="2"/>
  <c r="AC36" i="2"/>
  <c r="Y36" i="2"/>
  <c r="I36" i="2"/>
  <c r="G36" i="2"/>
  <c r="D36" i="2"/>
  <c r="B1" i="2"/>
  <c r="N26" i="18"/>
  <c r="AA26" i="18"/>
  <c r="T26" i="18"/>
  <c r="O26" i="18"/>
  <c r="M26" i="18"/>
  <c r="J26" i="18"/>
  <c r="E26" i="18"/>
  <c r="A32" i="18"/>
  <c r="B1" i="18"/>
  <c r="AD21" i="17"/>
  <c r="AF10" i="17"/>
  <c r="AF13" i="17"/>
  <c r="AE38" i="2"/>
  <c r="F8" i="12"/>
  <c r="AF12" i="17"/>
  <c r="AF8" i="17"/>
  <c r="AH38" i="2"/>
  <c r="AH39" i="2"/>
  <c r="O38" i="2"/>
  <c r="O39" i="2"/>
  <c r="AI38" i="2"/>
  <c r="AI39" i="2"/>
  <c r="AC38" i="2"/>
  <c r="AC39" i="2"/>
  <c r="I38" i="2"/>
  <c r="G38" i="2"/>
  <c r="Y39" i="2"/>
  <c r="Y38" i="2"/>
  <c r="D38" i="2"/>
  <c r="AK38" i="2"/>
  <c r="AK39" i="2"/>
  <c r="U36" i="2"/>
  <c r="C38" i="2"/>
  <c r="C36" i="2"/>
  <c r="AF22" i="17"/>
  <c r="AF16" i="17"/>
  <c r="AO8" i="2"/>
  <c r="E8" i="12" s="1"/>
  <c r="AF17" i="17"/>
  <c r="AE6" i="18"/>
  <c r="AF6" i="17" s="1"/>
  <c r="G5" i="19" s="1"/>
  <c r="T36" i="2" l="1"/>
  <c r="S36" i="2"/>
  <c r="AJ39" i="2"/>
  <c r="AJ36" i="2"/>
  <c r="N36" i="2"/>
  <c r="N39" i="2"/>
  <c r="D12" i="19"/>
  <c r="AF36" i="2"/>
  <c r="L38" i="2"/>
  <c r="L36" i="2"/>
  <c r="E39" i="2"/>
  <c r="E36" i="2"/>
  <c r="P36" i="2"/>
  <c r="F36" i="2"/>
  <c r="Q36" i="2"/>
  <c r="F9" i="12"/>
  <c r="U38" i="2"/>
  <c r="Q39" i="2"/>
  <c r="T39" i="2"/>
  <c r="S38" i="2"/>
  <c r="D22" i="19"/>
  <c r="I19" i="12"/>
  <c r="I21" i="12" s="1"/>
  <c r="C18" i="12"/>
  <c r="C19" i="12" s="1"/>
  <c r="C21" i="12" s="1"/>
  <c r="C28" i="12"/>
  <c r="H9" i="12"/>
  <c r="J9" i="12"/>
  <c r="H39" i="2"/>
  <c r="D15" i="19"/>
  <c r="G42" i="19"/>
  <c r="G43" i="19" s="1"/>
  <c r="D18" i="12"/>
  <c r="D19" i="12" s="1"/>
  <c r="D21" i="12" s="1"/>
  <c r="C22" i="19"/>
  <c r="F39" i="2"/>
  <c r="G16" i="19"/>
  <c r="G8" i="12"/>
  <c r="G9" i="12" s="1"/>
  <c r="AE21" i="18"/>
  <c r="AF21" i="17" s="1"/>
  <c r="G7" i="19" s="1"/>
  <c r="AF18" i="17"/>
  <c r="F18" i="12" s="1"/>
  <c r="F19" i="12" s="1"/>
  <c r="F21" i="12" s="1"/>
  <c r="E9" i="12"/>
  <c r="C23" i="19"/>
  <c r="E19" i="12"/>
  <c r="E21" i="12" s="1"/>
  <c r="I9" i="12"/>
  <c r="P38" i="2"/>
  <c r="D9" i="12"/>
  <c r="D10" i="19"/>
  <c r="AO30" i="2"/>
  <c r="D23" i="19"/>
  <c r="C7" i="19"/>
  <c r="C5" i="19"/>
  <c r="D6" i="19"/>
  <c r="C8" i="12"/>
  <c r="C9" i="12" s="1"/>
  <c r="D21" i="19"/>
  <c r="D5" i="19"/>
  <c r="C6" i="19"/>
  <c r="D7" i="19"/>
</calcChain>
</file>

<file path=xl/sharedStrings.xml><?xml version="1.0" encoding="utf-8"?>
<sst xmlns="http://schemas.openxmlformats.org/spreadsheetml/2006/main" count="659" uniqueCount="327">
  <si>
    <t>Agency:</t>
  </si>
  <si>
    <t xml:space="preserve">PSA #  </t>
  </si>
  <si>
    <t>Projected Resources and Spending</t>
  </si>
  <si>
    <t>Title III-B</t>
  </si>
  <si>
    <t>Title III-C(1)</t>
  </si>
  <si>
    <t>Title III-C(2)</t>
  </si>
  <si>
    <t>Title III-D</t>
  </si>
  <si>
    <t>Title III-E</t>
  </si>
  <si>
    <t>Title VII - EA</t>
  </si>
  <si>
    <t>NSIP</t>
  </si>
  <si>
    <t>Title VII - OMB</t>
  </si>
  <si>
    <t>Estimated Unencumbered Cash on Hand on 10/1/25</t>
  </si>
  <si>
    <t>FY'26 Obligation</t>
  </si>
  <si>
    <t>FY'26 Transfers</t>
  </si>
  <si>
    <t>Total Resources</t>
  </si>
  <si>
    <t>Total Proposed Spending FY'26</t>
  </si>
  <si>
    <t>Proposed Carryover into FY'27</t>
  </si>
  <si>
    <t>OAA General</t>
  </si>
  <si>
    <t>Community Based</t>
  </si>
  <si>
    <t>Transportation</t>
  </si>
  <si>
    <t>Home Delivered Meals</t>
  </si>
  <si>
    <t>Supplemental Nutrition</t>
  </si>
  <si>
    <t>CCEVP</t>
  </si>
  <si>
    <t>GF OMB</t>
  </si>
  <si>
    <t>FY'26 Obligation
(Oct 1, 2025 - Jun 30, 2026)</t>
  </si>
  <si>
    <t>FY'26 Transfers
(Oct 1, 2025 - Jun 30, 2026)</t>
  </si>
  <si>
    <t>FY'27 Obligation
(Jul 1, 2026 - Sep 30, 2026)</t>
  </si>
  <si>
    <t>FY'27 Transfers
(Jul 1, 2026 - Sep 30, 2026)</t>
  </si>
  <si>
    <t>Total Proposed Spending FY'26*</t>
  </si>
  <si>
    <t>Balance prior to Reallocation of Undesignated Funds</t>
  </si>
  <si>
    <t>Reallocation Requested of Undesignated Funds **</t>
  </si>
  <si>
    <t>DMAS OMB</t>
  </si>
  <si>
    <t xml:space="preserve">• The allocation of “Undesignated Funds” must be done during the initial budget period at the beginning of the area plan year.
• Federal regulations prohibit the movement of Title III-D &amp; E funds, which also restrict the movement of matching state funds.
• CCEVP and Ombudsman funds are restricted as well.  You cannot reallocate funds from CCEVP or Ombudsman, however you may add undesignated funds to any service.
• *All undesignated funds budgeted for a service will be added to the "OAA General" funding source.  In the event that "OAA General" is not an available funding source for that service, then the funds will be added to "CCEVP". 
•  **If you are moving Undesignated funds from funding source "OAA General" to "Undesignated OAA General" then a reallocation of funds will not be necessary.  The balances that are shown on this line represent amounts that are moving from different funding sources.  
</t>
  </si>
  <si>
    <t>The allocations are estimations and projections made using the information from the current award documents.  The funds are based on the best data available and used to forecast the future year budget and resource allocation.</t>
  </si>
  <si>
    <t xml:space="preserve">                                                                                                                                                              </t>
  </si>
  <si>
    <t>2019 IIIB OMB Expenses</t>
  </si>
  <si>
    <t>January</t>
  </si>
  <si>
    <t>February</t>
  </si>
  <si>
    <t>March</t>
  </si>
  <si>
    <t>Mountain Empire Older Citizens, Inc.</t>
  </si>
  <si>
    <t>April</t>
  </si>
  <si>
    <t>Appalachian Agency for Senior Citizens, Inc.</t>
  </si>
  <si>
    <t>May</t>
  </si>
  <si>
    <t>District Three Governmental Cooperative</t>
  </si>
  <si>
    <t>June</t>
  </si>
  <si>
    <t>New River Valley Area Agency on Aging</t>
  </si>
  <si>
    <t>July</t>
  </si>
  <si>
    <t>LOA Area Agency on Aging, Inc.</t>
  </si>
  <si>
    <t>August</t>
  </si>
  <si>
    <t>8A</t>
  </si>
  <si>
    <t>Valley Program for Aging Services, Inc.</t>
  </si>
  <si>
    <t>September</t>
  </si>
  <si>
    <t>8B</t>
  </si>
  <si>
    <t>Shenandoah Area Agency on Aging, Inc.</t>
  </si>
  <si>
    <t>October</t>
  </si>
  <si>
    <t>8C</t>
  </si>
  <si>
    <t>City of Alexandria</t>
  </si>
  <si>
    <t>November</t>
  </si>
  <si>
    <t>8D</t>
  </si>
  <si>
    <t>Arlington County</t>
  </si>
  <si>
    <t>December</t>
  </si>
  <si>
    <t>8E</t>
  </si>
  <si>
    <t>Fairfax County</t>
  </si>
  <si>
    <t>Final (13th Mo)</t>
  </si>
  <si>
    <t>Loudoun County</t>
  </si>
  <si>
    <t>Prince William County</t>
  </si>
  <si>
    <t>Rappahannock-Rapidan Community Services Board</t>
  </si>
  <si>
    <t>Jefferson Area Board for Aging</t>
  </si>
  <si>
    <t>Central Virginia Alliance for Community Living, Inc.</t>
  </si>
  <si>
    <t>Southern Area Agency on Aging, Inc.</t>
  </si>
  <si>
    <t>Lake Country Area Agency on Aging</t>
  </si>
  <si>
    <t>Piedmont Senior Resources Area Agency on Aging, Inc.</t>
  </si>
  <si>
    <t>17/18</t>
  </si>
  <si>
    <t>Senior Connections - Capital Area Agency on Aging, Inc.</t>
  </si>
  <si>
    <t>Rappahannock Area Agency on Aging, Inc.</t>
  </si>
  <si>
    <t>Bay Aging</t>
  </si>
  <si>
    <t>Crater District Area Agency on Aging</t>
  </si>
  <si>
    <t>Southeastern Virginia Areawide Model Program, Inc.</t>
  </si>
  <si>
    <t>Peninsula Agency on Aging, Inc.</t>
  </si>
  <si>
    <t>Eastern Shore Area Agency on Aging/CAA, Inc.</t>
  </si>
  <si>
    <t>PSA:</t>
  </si>
  <si>
    <t>Requirement</t>
  </si>
  <si>
    <t>Agency Status</t>
  </si>
  <si>
    <t>Minimum Adequate Proportion</t>
  </si>
  <si>
    <t>Access (minimum 15%)</t>
  </si>
  <si>
    <t>Prep &amp; Admin Spending (10% or less)</t>
  </si>
  <si>
    <t>In-Home (minimum 5%)</t>
  </si>
  <si>
    <t>Prep &amp; Admin Federal Share (75% or less)</t>
  </si>
  <si>
    <t>Legal (minimum 1%)</t>
  </si>
  <si>
    <t>Services Federal Share (75% or less)</t>
  </si>
  <si>
    <t>Title III-B Preparation and Administration</t>
  </si>
  <si>
    <t>Title III-E Categories</t>
  </si>
  <si>
    <t>Spending (10% or less)</t>
  </si>
  <si>
    <t>Respite Services</t>
  </si>
  <si>
    <t>Federal Share (75% or less)</t>
  </si>
  <si>
    <t>Supplemental Services</t>
  </si>
  <si>
    <t>Non-Federal Share (25% or more)</t>
  </si>
  <si>
    <t>Title III and Title III-E Preparation and Administration using OAA General Fund (5% or less)</t>
  </si>
  <si>
    <t>Funds Spent on Grandparents</t>
  </si>
  <si>
    <t>% Spent on Grandparents (10% or less)</t>
  </si>
  <si>
    <t>FY 2019 Title III-B Expenditures in the LTC Ombudsman Program Comparison</t>
  </si>
  <si>
    <t>Current YR Diff</t>
  </si>
  <si>
    <t>YR 2019</t>
  </si>
  <si>
    <r>
      <t xml:space="preserve">Enter </t>
    </r>
    <r>
      <rPr>
        <b/>
        <sz val="10"/>
        <rFont val="Arial"/>
        <family val="2"/>
      </rPr>
      <t>Title III-B</t>
    </r>
    <r>
      <rPr>
        <sz val="10"/>
        <rFont val="Arial"/>
        <family val="2"/>
      </rPr>
      <t xml:space="preserve"> general fund expenditures used to match non OAA funds or used for services under a non OAA allowed sliding fee scale.</t>
    </r>
  </si>
  <si>
    <t xml:space="preserve">Title III-B Services </t>
  </si>
  <si>
    <t>Federal Share (85% or less)</t>
  </si>
  <si>
    <t>Non-Federal Share plus State Share (15% or more)</t>
  </si>
  <si>
    <t>State Share (5% or more)</t>
  </si>
  <si>
    <r>
      <t xml:space="preserve">Enter </t>
    </r>
    <r>
      <rPr>
        <b/>
        <sz val="10"/>
        <rFont val="Arial"/>
        <family val="2"/>
      </rPr>
      <t>Title III-C1</t>
    </r>
    <r>
      <rPr>
        <sz val="10"/>
        <rFont val="Arial"/>
        <family val="2"/>
      </rPr>
      <t xml:space="preserve"> general fund expenditures used to match non OAA funds.</t>
    </r>
  </si>
  <si>
    <t xml:space="preserve">Title III-C1 Services </t>
  </si>
  <si>
    <r>
      <t xml:space="preserve">Enter </t>
    </r>
    <r>
      <rPr>
        <b/>
        <sz val="10"/>
        <rFont val="Arial"/>
        <family val="2"/>
      </rPr>
      <t>Title III-C2</t>
    </r>
    <r>
      <rPr>
        <sz val="10"/>
        <rFont val="Arial"/>
        <family val="2"/>
      </rPr>
      <t xml:space="preserve"> general fund expenditures used to match non OAA funds.</t>
    </r>
  </si>
  <si>
    <t xml:space="preserve">Title III-C2 Services </t>
  </si>
  <si>
    <t>CCEVP Tab (If yellow go to tab)</t>
  </si>
  <si>
    <t>Care Coordination Level 2</t>
  </si>
  <si>
    <t>Care Coordination Level 1</t>
  </si>
  <si>
    <t>10/1/25-6/30/26</t>
  </si>
  <si>
    <t>7/1/26 - 9/30/26</t>
  </si>
  <si>
    <t>Care Transitions</t>
  </si>
  <si>
    <r>
      <t>State Transfers</t>
    </r>
    <r>
      <rPr>
        <sz val="10"/>
        <rFont val="Arial"/>
        <family val="2"/>
      </rPr>
      <t xml:space="preserve"> (40% or less)</t>
    </r>
  </si>
  <si>
    <t>Senior Outreach to Services (S.O.S.)</t>
  </si>
  <si>
    <t>Community Based Transfers</t>
  </si>
  <si>
    <t>Options Counseling Services</t>
  </si>
  <si>
    <t>Transportation Transfers</t>
  </si>
  <si>
    <t>Home Delivered Meal Transfers</t>
  </si>
  <si>
    <t>Total Transfers Equal Zero</t>
  </si>
  <si>
    <t>Undesignated Funds</t>
  </si>
  <si>
    <t>10/1/25-9/30/26</t>
  </si>
  <si>
    <t>Match Required (Title III-B, C1, C2)</t>
  </si>
  <si>
    <t>Federal Transfers</t>
  </si>
  <si>
    <t>Match Met</t>
  </si>
  <si>
    <t>Title III-B (30% or less)</t>
  </si>
  <si>
    <t>Title III-C(1) (25% or less to C(2), 10% or less to B)</t>
  </si>
  <si>
    <t>Title III-C(2) (25% or less to C(1), 10% or less to B)</t>
  </si>
  <si>
    <t>Total Undesignated Funds Budgeted to OAA General *</t>
  </si>
  <si>
    <t>**</t>
  </si>
  <si>
    <t>Total Undesignated Funds Budgeted to CCEVP *</t>
  </si>
  <si>
    <t xml:space="preserve">• The allocation of “Undesignated Funds” must be done during the initial budget period at the beginning of the area plan year.
• Federal regulations prohibit the movement of Title III-D &amp; E funds, which also restrict the movement of matching state funds.
• CCEVP and Ombudsman funds are restricted as well.  You cannot reallocate funds from CCEVP or Ombudsman, however you may add undesignated funds to any service.
• *All undesignated funds budgeted for a service will be added to the "OAA General" funding source.  In the event that "OAA General" is not an available funding source for that service, then the funds will be added to "CCEVP". 
•  **If you are moving Undesignated funds from funding source "OAA General" to "Undesignated OAA General" then a reallocation of funds will not be necessary.  The balances that are shown on this line represent amounts that are moving from different funding sources. </t>
  </si>
  <si>
    <t>This row is left available for your internal comments.  For example, some agencies use it to indicate internal account numbers.</t>
  </si>
  <si>
    <t>Planned Expenditures</t>
  </si>
  <si>
    <t>In-Home Services</t>
  </si>
  <si>
    <t>Access Services</t>
  </si>
  <si>
    <t>Nutrition</t>
  </si>
  <si>
    <t>Disease Prevention</t>
  </si>
  <si>
    <t>Other Services</t>
  </si>
  <si>
    <t>Legal</t>
  </si>
  <si>
    <t>Elder Rights</t>
  </si>
  <si>
    <t>Incentive</t>
  </si>
  <si>
    <t>Administration</t>
  </si>
  <si>
    <t>Grand Total</t>
  </si>
  <si>
    <t>Funding Source</t>
  </si>
  <si>
    <t>Adult Day Care</t>
  </si>
  <si>
    <t>Checking</t>
  </si>
  <si>
    <t>Chore</t>
  </si>
  <si>
    <t>Homemaker</t>
  </si>
  <si>
    <t>Personal Care</t>
  </si>
  <si>
    <t>Care / Service Coordination Level 2</t>
  </si>
  <si>
    <t>Service Coordination Level 1</t>
  </si>
  <si>
    <t>S.O.S.</t>
  </si>
  <si>
    <t>Communication Referral &amp; I&amp;A</t>
  </si>
  <si>
    <t>Options Counseling</t>
  </si>
  <si>
    <t>Assisted Transportation</t>
  </si>
  <si>
    <t>Congregate Meals</t>
  </si>
  <si>
    <t>State Funded Home Delivered Meals</t>
  </si>
  <si>
    <t>Nutrition Counseling</t>
  </si>
  <si>
    <t>Nutrition Education</t>
  </si>
  <si>
    <t>Other "EB" Disease Prevention</t>
  </si>
  <si>
    <t>CDSME</t>
  </si>
  <si>
    <t>Falls Prevention</t>
  </si>
  <si>
    <t>Health Education Screening</t>
  </si>
  <si>
    <t xml:space="preserve">Assistive Technology/ DME / PERS - Devices </t>
  </si>
  <si>
    <t>Assistive Technology/ DME / PERS - Payments</t>
  </si>
  <si>
    <t>Consumable Supplies</t>
  </si>
  <si>
    <t>Emergency</t>
  </si>
  <si>
    <t>Employment</t>
  </si>
  <si>
    <t>Medication Management</t>
  </si>
  <si>
    <t>Money Management</t>
  </si>
  <si>
    <t>Outreach/ Public Information/ Education</t>
  </si>
  <si>
    <t>Residential Repair &amp; Renovation</t>
  </si>
  <si>
    <t>Socialization &amp; Recreation</t>
  </si>
  <si>
    <t>Volunteer Programs</t>
  </si>
  <si>
    <t>Legal Assistance</t>
  </si>
  <si>
    <t>Elder Abuse Prevention</t>
  </si>
  <si>
    <t>Local LTC Ombudsman</t>
  </si>
  <si>
    <t>Incentive Program</t>
  </si>
  <si>
    <t>Preparation &amp; Administration</t>
  </si>
  <si>
    <t>Total</t>
  </si>
  <si>
    <t>Older Americans Act</t>
  </si>
  <si>
    <t>Title VII - Ombudsman</t>
  </si>
  <si>
    <t>Title VII - Elder Abuse</t>
  </si>
  <si>
    <t>Other Funds</t>
  </si>
  <si>
    <t>Voluntary Contributions</t>
  </si>
  <si>
    <t>Other Non-Federal</t>
  </si>
  <si>
    <t>Fees</t>
  </si>
  <si>
    <t>Other Federal</t>
  </si>
  <si>
    <t>DMAS - Ombudsman</t>
  </si>
  <si>
    <t>Other Local Federal Funding</t>
  </si>
  <si>
    <t>General Funds</t>
  </si>
  <si>
    <t>Ombudsman</t>
  </si>
  <si>
    <t>Undesignated Funds to OAA General*</t>
  </si>
  <si>
    <t xml:space="preserve"> </t>
  </si>
  <si>
    <t>Undesignated Funds to CCEVP*</t>
  </si>
  <si>
    <t>Total Cash</t>
  </si>
  <si>
    <t>In-Kind Amount</t>
  </si>
  <si>
    <t>Service Data:</t>
  </si>
  <si>
    <t>Planned Number of Units</t>
  </si>
  <si>
    <t>Unit Defined as:</t>
  </si>
  <si>
    <t>Hours</t>
  </si>
  <si>
    <t>Contacts</t>
  </si>
  <si>
    <t>Individual Hours</t>
  </si>
  <si>
    <t>Referrals</t>
  </si>
  <si>
    <t>1-Way Trips</t>
  </si>
  <si>
    <t>Eligible Meals</t>
  </si>
  <si>
    <t>Meals</t>
  </si>
  <si>
    <t>Non NSIP Meals</t>
  </si>
  <si>
    <t>Sessions</t>
  </si>
  <si>
    <t>Devices</t>
  </si>
  <si>
    <t>Payments</t>
  </si>
  <si>
    <t># of Activities</t>
  </si>
  <si>
    <t>Homes Repaired</t>
  </si>
  <si>
    <t># of Incentives</t>
  </si>
  <si>
    <t>Unit Cost</t>
  </si>
  <si>
    <t>Planned Persons Served</t>
  </si>
  <si>
    <t>*All undesignated funds budgeted for a service will be added to the "OAA General" funding source.  In the event that "OAA General" is not an available funding source for that service, then the funds will be added to "CCEVP".</t>
  </si>
  <si>
    <t xml:space="preserve">                             </t>
  </si>
  <si>
    <t>Individual Counseling</t>
  </si>
  <si>
    <t>Support Groups</t>
  </si>
  <si>
    <t>Caregiver Training</t>
  </si>
  <si>
    <t>Care / Service Coordination
Level 2</t>
  </si>
  <si>
    <t>Information and Assistance</t>
  </si>
  <si>
    <t>Respite Voucher</t>
  </si>
  <si>
    <t xml:space="preserve"> Total
Title III-E</t>
  </si>
  <si>
    <t>Adult Day Care
(Out of Home)</t>
  </si>
  <si>
    <t>Homemaker
(In-Home)</t>
  </si>
  <si>
    <t>Personal Care
(In-Home)</t>
  </si>
  <si>
    <t>Institutional Respite (Out of Home Overnight)</t>
  </si>
  <si>
    <t>Other</t>
  </si>
  <si>
    <t xml:space="preserve">Assistive Technology/ DME / PERS -
 Devices </t>
  </si>
  <si>
    <t>Assistive Technology/ DME / PERS - 
Payments</t>
  </si>
  <si>
    <t>Financial Consultation</t>
  </si>
  <si>
    <t xml:space="preserve">Homemaker
</t>
  </si>
  <si>
    <t xml:space="preserve">Personal Care
</t>
  </si>
  <si>
    <t>Direct Payments</t>
  </si>
  <si>
    <t>Other Supplemental Services</t>
  </si>
  <si>
    <t>Undesignated Funds to OAA General *</t>
  </si>
  <si>
    <t xml:space="preserve">Planned Units of Service </t>
  </si>
  <si>
    <t># of Vouchers</t>
  </si>
  <si>
    <t>Define Here</t>
  </si>
  <si>
    <t># of Payments</t>
  </si>
  <si>
    <t>Planned Persons Served with a Caregiver</t>
  </si>
  <si>
    <t>Est. Audience Size</t>
  </si>
  <si>
    <t>Planned Caregivers Served</t>
  </si>
  <si>
    <t>Planned Number of Caregivers Benefited</t>
  </si>
  <si>
    <t>Outreach / Public Information/ Education</t>
  </si>
  <si>
    <t>Total Relative Caregiver</t>
  </si>
  <si>
    <t>GRAND TOTAL TITLE III-E</t>
  </si>
  <si>
    <t xml:space="preserve">Agency: </t>
  </si>
  <si>
    <t>Client Data:</t>
  </si>
  <si>
    <t>1.  Estimated Care Coordination Labor Hours</t>
  </si>
  <si>
    <t>1.  Estimated Number of Persons to be Served</t>
  </si>
  <si>
    <t>2.  Unduplicated Care Coordination Clients to be Served</t>
  </si>
  <si>
    <t>2.  Estimated Number of SOS Referrals</t>
  </si>
  <si>
    <t>3.  Estimated Number of SOS Implementations</t>
  </si>
  <si>
    <t>4.  Estimated Number of Clients with 2 or More ADL's</t>
  </si>
  <si>
    <t>1.  Unduplicated Options Counseling Clients to be Served</t>
  </si>
  <si>
    <t>2.  Estimated Options Counseling Hours</t>
  </si>
  <si>
    <t>1.  Estimated Number of Persons Offered Care Transitions</t>
  </si>
  <si>
    <t>2.  Estimated Number of Persons Accepting Care Transitions</t>
  </si>
  <si>
    <t>3.  Estimated number of persons that Completed Care Transitions</t>
  </si>
  <si>
    <t>4.  Estimated Number of Persons Readmitted within 30 days of Discharge</t>
  </si>
  <si>
    <t>Proposed Spending</t>
  </si>
  <si>
    <t>Respite Care Initiative Grant</t>
  </si>
  <si>
    <t>Client Fees</t>
  </si>
  <si>
    <t>Other (Specify)</t>
  </si>
  <si>
    <t>General Fund Community Based</t>
  </si>
  <si>
    <t>Personnel Expenses:</t>
  </si>
  <si>
    <r>
      <t xml:space="preserve">Salaries </t>
    </r>
    <r>
      <rPr>
        <sz val="7"/>
        <rFont val="Arial"/>
        <family val="2"/>
      </rPr>
      <t>(Supervisory and Support Staff)</t>
    </r>
  </si>
  <si>
    <r>
      <t xml:space="preserve">Wages </t>
    </r>
    <r>
      <rPr>
        <sz val="7"/>
        <rFont val="Arial"/>
        <family val="2"/>
      </rPr>
      <t>(Respite Provider Staff)</t>
    </r>
  </si>
  <si>
    <r>
      <t xml:space="preserve">Fringe Benefits </t>
    </r>
    <r>
      <rPr>
        <sz val="7"/>
        <rFont val="Arial"/>
        <family val="2"/>
      </rPr>
      <t>(FICA, WC, Health, etc.)</t>
    </r>
  </si>
  <si>
    <t>Total Personnel Services</t>
  </si>
  <si>
    <t>Non-Personnel:</t>
  </si>
  <si>
    <r>
      <t xml:space="preserve">Contractual Services </t>
    </r>
    <r>
      <rPr>
        <sz val="7"/>
        <rFont val="Arial"/>
        <family val="2"/>
      </rPr>
      <t>(Direct Service Providers)</t>
    </r>
  </si>
  <si>
    <t>Supplies and Materials</t>
  </si>
  <si>
    <r>
      <t xml:space="preserve">Continuous Charges </t>
    </r>
    <r>
      <rPr>
        <sz val="7"/>
        <rFont val="Arial"/>
        <family val="2"/>
      </rPr>
      <t>(Insurance, Rent, Maintenance, etc.)</t>
    </r>
  </si>
  <si>
    <r>
      <t xml:space="preserve">Other </t>
    </r>
    <r>
      <rPr>
        <sz val="8"/>
        <rFont val="Arial"/>
        <family val="2"/>
      </rPr>
      <t>(Identify)</t>
    </r>
  </si>
  <si>
    <t>Total Non-Personnel</t>
  </si>
  <si>
    <r>
      <t xml:space="preserve">In Kind Other </t>
    </r>
    <r>
      <rPr>
        <sz val="8"/>
        <rFont val="Arial"/>
        <family val="2"/>
      </rPr>
      <t>(Identify)</t>
    </r>
  </si>
  <si>
    <t>Spending Requirements</t>
  </si>
  <si>
    <t>Respite Care Grant - no more than 55%</t>
  </si>
  <si>
    <t>Matching Funds - at least 45%</t>
  </si>
  <si>
    <t>In-Kind Matching Funds – no more than 20%</t>
  </si>
  <si>
    <t>DEPARTMENT FOR AGING AND REHABILITATIVE SERVICES</t>
  </si>
  <si>
    <t xml:space="preserve"> FY 2026 Federal Funding Allocations</t>
  </si>
  <si>
    <t xml:space="preserve">                                                                                                                              </t>
  </si>
  <si>
    <t>|-------------------------------------------- TITLE III --------------------------------------------|</t>
  </si>
  <si>
    <t>|------------ TITLE VII ------------|</t>
  </si>
  <si>
    <t>PSA</t>
  </si>
  <si>
    <t>B- Supportive Services</t>
  </si>
  <si>
    <t>C(1) - Congregate Meals</t>
  </si>
  <si>
    <t>C(2) - Home Delivered Meals</t>
  </si>
  <si>
    <t>D - Preventive Health</t>
  </si>
  <si>
    <t>E - Family Caregiver</t>
  </si>
  <si>
    <t>Elder Abuse</t>
  </si>
  <si>
    <t>TOTAL</t>
  </si>
  <si>
    <t>TB</t>
  </si>
  <si>
    <t>State General Funds</t>
  </si>
  <si>
    <t>October 1, 2025 - June 30, 2026</t>
  </si>
  <si>
    <t>Community Based Services</t>
  </si>
  <si>
    <t>Supp Nutrition</t>
  </si>
  <si>
    <t>- Community Based Services - Homemaker, personal care, adult day care, checking and chore.</t>
  </si>
  <si>
    <t>- OAA General - all services with a limit of 5% for preparation and administration.</t>
  </si>
  <si>
    <t>- Agencies may transfer up to 40% of their funding for a category between categories except for OAA General, Supp Nutrition, CCEVP, and Ombudsman.</t>
  </si>
  <si>
    <t>- Additional $700,000 to cover losses and Additional $750,000 Appropriations added to OAA General for FY2026.</t>
  </si>
  <si>
    <t>July 1, 2026 - September 30, 2026</t>
  </si>
  <si>
    <t>`</t>
  </si>
  <si>
    <t>Proposed Funding Allocations</t>
  </si>
  <si>
    <t xml:space="preserve"> Nutrition Services Incentive Program (NSIP)</t>
  </si>
  <si>
    <t>October 1, 2025 - September 30, 2026</t>
  </si>
  <si>
    <t>FY'24 Meal Counts</t>
  </si>
  <si>
    <t>Congregate
Meals Served</t>
  </si>
  <si>
    <t>Home Delivered
Meals Served</t>
  </si>
  <si>
    <t>Total
Meals Served</t>
  </si>
  <si>
    <t xml:space="preserve">NSIP Funds </t>
  </si>
  <si>
    <t>FY 2026 DMAS Ombudsman Federal Funding Allocations</t>
  </si>
  <si>
    <t>Formula Based on # of Beds</t>
  </si>
  <si>
    <t>Total DMAS Funding</t>
  </si>
  <si>
    <t>8C (Incl 8A-8D)</t>
  </si>
  <si>
    <t>17/18 (Incl 20 &amp;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</si>
</sst>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quot;$&quot;#,##0.00"/>
    <numFmt numFmtId="165" formatCode="0.0"/>
    <numFmt numFmtId="166" formatCode="mm/dd/yy;@"/>
    <numFmt numFmtId="167" formatCode="_(* #,##0_);_(* \(#,##0\);_(* &quot;-&quot;??_);_(@_)"/>
    <numFmt numFmtId="168" formatCode="0.0%"/>
    <numFmt numFmtId="169" formatCode="mm/dd/yy"/>
    <numFmt numFmtId="170" formatCode="0.00000"/>
    <numFmt numFmtId="171" formatCode="0.0000"/>
    <numFmt numFmtId="172" formatCode="m/d/yy;@"/>
  </numFmts>
  <fonts count="38"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62"/>
      <name val="Cambria"/>
      <family val="2"/>
    </font>
    <font>
      <b/>
      <sz val="10"/>
      <color indexed="8"/>
      <name val="Arial"/>
      <family val="2"/>
    </font>
    <font>
      <sz val="10"/>
      <color indexed="10"/>
      <name val="Arial"/>
      <family val="2"/>
    </font>
    <font>
      <sz val="10"/>
      <name val="Arial"/>
      <family val="2"/>
    </font>
    <font>
      <sz val="10"/>
      <name val="Arial"/>
      <family val="2"/>
    </font>
    <font>
      <b/>
      <sz val="11"/>
      <name val="Arial"/>
      <family val="2"/>
    </font>
    <font>
      <sz val="11"/>
      <name val="Arial"/>
      <family val="2"/>
    </font>
    <font>
      <sz val="11"/>
      <color rgb="FF1F497D"/>
      <name val="Arial"/>
      <family val="2"/>
    </font>
    <font>
      <sz val="10"/>
      <color theme="1"/>
      <name val="Calibri"/>
      <family val="2"/>
      <scheme val="minor"/>
    </font>
    <font>
      <b/>
      <sz val="10"/>
      <color theme="1"/>
      <name val="Calibri"/>
      <family val="2"/>
      <scheme val="minor"/>
    </font>
    <font>
      <u/>
      <sz val="11"/>
      <color theme="1"/>
      <name val="Calibri"/>
      <family val="2"/>
      <scheme val="minor"/>
    </font>
    <font>
      <u/>
      <sz val="10"/>
      <name val="Arial"/>
      <family val="2"/>
    </font>
    <font>
      <sz val="10"/>
      <color theme="0" tint="-0.499984740745262"/>
      <name val="Arial"/>
      <family val="2"/>
    </font>
    <font>
      <sz val="9"/>
      <name val="Arial"/>
      <family val="2"/>
    </font>
    <font>
      <sz val="10"/>
      <color rgb="FF757575"/>
      <name val="Arial"/>
      <family val="2"/>
    </font>
    <font>
      <sz val="7"/>
      <name val="Arial"/>
      <family val="2"/>
    </font>
    <font>
      <sz val="11"/>
      <name val="Calibri"/>
      <family val="2"/>
    </font>
  </fonts>
  <fills count="28">
    <fill>
      <patternFill patternType="none"/>
    </fill>
    <fill>
      <patternFill patternType="gray125"/>
    </fill>
    <fill>
      <patternFill patternType="solid">
        <fgColor indexed="9"/>
      </patternFill>
    </fill>
    <fill>
      <patternFill patternType="solid">
        <fgColor indexed="45"/>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29"/>
      </patternFill>
    </fill>
    <fill>
      <patternFill patternType="solid">
        <fgColor indexed="11"/>
      </patternFill>
    </fill>
    <fill>
      <patternFill patternType="solid">
        <fgColor indexed="44"/>
      </patternFill>
    </fill>
    <fill>
      <patternFill patternType="solid">
        <fgColor indexed="51"/>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2"/>
      </patternFill>
    </fill>
    <fill>
      <patternFill patternType="solid">
        <fgColor indexed="43"/>
      </patternFill>
    </fill>
    <fill>
      <patternFill patternType="solid">
        <fgColor indexed="22"/>
        <bgColor indexed="64"/>
      </patternFill>
    </fill>
    <fill>
      <patternFill patternType="solid">
        <fgColor indexed="63"/>
        <bgColor indexed="64"/>
      </patternFill>
    </fill>
    <fill>
      <patternFill patternType="solid">
        <fgColor indexed="41"/>
        <bgColor indexed="64"/>
      </patternFill>
    </fill>
    <fill>
      <patternFill patternType="solid">
        <fgColor indexed="9"/>
        <bgColor indexed="64"/>
      </patternFill>
    </fill>
    <fill>
      <patternFill patternType="solid">
        <fgColor theme="0" tint="-0.24994659260841701"/>
        <bgColor indexed="64"/>
      </patternFill>
    </fill>
    <fill>
      <patternFill patternType="solid">
        <fgColor rgb="FFCCFFFF"/>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double">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ck">
        <color indexed="64"/>
      </bottom>
      <diagonal/>
    </border>
    <border>
      <left/>
      <right/>
      <top/>
      <bottom style="double">
        <color indexed="64"/>
      </bottom>
      <diagonal/>
    </border>
    <border>
      <left/>
      <right/>
      <top style="double">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s>
  <cellStyleXfs count="5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18" borderId="0" applyNumberFormat="0" applyBorder="0" applyAlignment="0" applyProtection="0"/>
    <xf numFmtId="0" fontId="9" fillId="3" borderId="0" applyNumberFormat="0" applyBorder="0" applyAlignment="0" applyProtection="0"/>
    <xf numFmtId="0" fontId="10" fillId="2" borderId="1" applyNumberFormat="0" applyAlignment="0" applyProtection="0"/>
    <xf numFmtId="0" fontId="11" fillId="19" borderId="2" applyNumberFormat="0" applyAlignment="0" applyProtection="0"/>
    <xf numFmtId="0" fontId="12" fillId="0" borderId="0" applyNumberFormat="0" applyFill="0" applyBorder="0" applyAlignment="0" applyProtection="0"/>
    <xf numFmtId="0" fontId="13" fillId="20"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1" borderId="0" applyNumberFormat="0" applyBorder="0" applyAlignment="0" applyProtection="0"/>
    <xf numFmtId="0" fontId="2" fillId="4" borderId="7" applyNumberFormat="0" applyFont="0" applyAlignment="0" applyProtection="0"/>
    <xf numFmtId="0" fontId="20" fillId="2"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43" fontId="24" fillId="0" borderId="0" applyFont="0" applyFill="0" applyBorder="0" applyAlignment="0" applyProtection="0"/>
    <xf numFmtId="9" fontId="25" fillId="0" borderId="0" applyFon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43" fontId="2" fillId="0" borderId="0" applyFont="0" applyFill="0" applyBorder="0" applyAlignment="0" applyProtection="0"/>
    <xf numFmtId="0" fontId="2" fillId="0" borderId="0" applyNumberFormat="0" applyAlignment="0"/>
  </cellStyleXfs>
  <cellXfs count="665">
    <xf numFmtId="0" fontId="0" fillId="0" borderId="0" xfId="0"/>
    <xf numFmtId="0" fontId="4" fillId="0" borderId="0" xfId="0" applyFont="1"/>
    <xf numFmtId="0" fontId="3" fillId="0" borderId="0" xfId="0" applyFont="1" applyAlignment="1">
      <alignment wrapText="1"/>
    </xf>
    <xf numFmtId="0" fontId="3" fillId="0" borderId="12" xfId="0" applyFont="1" applyBorder="1"/>
    <xf numFmtId="0" fontId="0" fillId="0" borderId="0" xfId="0" applyAlignment="1">
      <alignment wrapText="1"/>
    </xf>
    <xf numFmtId="0" fontId="3" fillId="0" borderId="0" xfId="0" applyFont="1" applyAlignment="1">
      <alignment horizontal="left"/>
    </xf>
    <xf numFmtId="0" fontId="3" fillId="0" borderId="0" xfId="0" applyFont="1"/>
    <xf numFmtId="3" fontId="3" fillId="0" borderId="10" xfId="0" applyNumberFormat="1" applyFont="1" applyBorder="1" applyAlignment="1">
      <alignment horizontal="center" wrapText="1"/>
    </xf>
    <xf numFmtId="3" fontId="0" fillId="22" borderId="21" xfId="0" applyNumberFormat="1" applyFill="1" applyBorder="1"/>
    <xf numFmtId="3" fontId="0" fillId="0" borderId="0" xfId="0" applyNumberFormat="1"/>
    <xf numFmtId="164" fontId="0" fillId="0" borderId="10" xfId="0" applyNumberFormat="1" applyBorder="1"/>
    <xf numFmtId="0" fontId="0" fillId="0" borderId="0" xfId="0" quotePrefix="1"/>
    <xf numFmtId="164" fontId="0" fillId="0" borderId="22" xfId="0" applyNumberFormat="1" applyBorder="1"/>
    <xf numFmtId="164" fontId="0" fillId="0" borderId="21" xfId="0" applyNumberFormat="1" applyBorder="1"/>
    <xf numFmtId="164" fontId="0" fillId="0" borderId="20" xfId="0" applyNumberFormat="1" applyBorder="1"/>
    <xf numFmtId="3" fontId="3" fillId="0" borderId="0" xfId="0" applyNumberFormat="1" applyFont="1" applyAlignment="1">
      <alignment horizontal="right"/>
    </xf>
    <xf numFmtId="3" fontId="0" fillId="22" borderId="34" xfId="0" applyNumberFormat="1" applyFill="1" applyBorder="1"/>
    <xf numFmtId="3" fontId="5" fillId="0" borderId="0" xfId="0" applyNumberFormat="1" applyFont="1"/>
    <xf numFmtId="3" fontId="3" fillId="0" borderId="0" xfId="0" applyNumberFormat="1" applyFont="1" applyAlignment="1">
      <alignment horizontal="center" wrapText="1"/>
    </xf>
    <xf numFmtId="3" fontId="0" fillId="0" borderId="0" xfId="0" applyNumberFormat="1" applyAlignment="1">
      <alignment wrapText="1"/>
    </xf>
    <xf numFmtId="3" fontId="3" fillId="0" borderId="0" xfId="0" applyNumberFormat="1" applyFont="1" applyAlignment="1">
      <alignment horizontal="left"/>
    </xf>
    <xf numFmtId="3" fontId="3" fillId="24" borderId="27" xfId="0" applyNumberFormat="1" applyFont="1" applyFill="1" applyBorder="1" applyAlignment="1" applyProtection="1">
      <alignment horizontal="left"/>
      <protection locked="0"/>
    </xf>
    <xf numFmtId="3" fontId="0" fillId="24" borderId="37" xfId="0" applyNumberFormat="1" applyFill="1" applyBorder="1" applyProtection="1">
      <protection locked="0"/>
    </xf>
    <xf numFmtId="3" fontId="0" fillId="24" borderId="38" xfId="0" applyNumberFormat="1" applyFill="1" applyBorder="1" applyProtection="1">
      <protection locked="0"/>
    </xf>
    <xf numFmtId="3" fontId="0" fillId="24" borderId="39" xfId="0" applyNumberFormat="1" applyFill="1" applyBorder="1" applyProtection="1">
      <protection locked="0"/>
    </xf>
    <xf numFmtId="164" fontId="0" fillId="0" borderId="15" xfId="0" applyNumberFormat="1" applyBorder="1"/>
    <xf numFmtId="3" fontId="0" fillId="22" borderId="19" xfId="0" applyNumberFormat="1" applyFill="1" applyBorder="1"/>
    <xf numFmtId="3" fontId="0" fillId="24" borderId="44" xfId="0" applyNumberFormat="1" applyFill="1" applyBorder="1" applyProtection="1">
      <protection locked="0"/>
    </xf>
    <xf numFmtId="3" fontId="0" fillId="22" borderId="39" xfId="0" applyNumberFormat="1" applyFill="1" applyBorder="1"/>
    <xf numFmtId="3" fontId="0" fillId="22" borderId="45" xfId="0" applyNumberFormat="1" applyFill="1" applyBorder="1"/>
    <xf numFmtId="3" fontId="0" fillId="0" borderId="29" xfId="0" applyNumberFormat="1" applyBorder="1" applyAlignment="1">
      <alignment horizontal="center"/>
    </xf>
    <xf numFmtId="3" fontId="0" fillId="0" borderId="46" xfId="0" applyNumberFormat="1" applyBorder="1" applyAlignment="1">
      <alignment horizontal="center"/>
    </xf>
    <xf numFmtId="3" fontId="0" fillId="0" borderId="47" xfId="0" applyNumberFormat="1" applyBorder="1" applyAlignment="1">
      <alignment horizontal="center"/>
    </xf>
    <xf numFmtId="3" fontId="0" fillId="0" borderId="48" xfId="0" applyNumberFormat="1" applyBorder="1" applyAlignment="1">
      <alignment horizontal="center"/>
    </xf>
    <xf numFmtId="3" fontId="0" fillId="0" borderId="49" xfId="0" applyNumberFormat="1" applyBorder="1" applyAlignment="1">
      <alignment horizontal="center"/>
    </xf>
    <xf numFmtId="3" fontId="0" fillId="22" borderId="37" xfId="0" applyNumberFormat="1" applyFill="1" applyBorder="1"/>
    <xf numFmtId="3" fontId="0" fillId="22" borderId="51" xfId="0" applyNumberFormat="1" applyFill="1" applyBorder="1"/>
    <xf numFmtId="0" fontId="3" fillId="0" borderId="11" xfId="0" applyFont="1" applyBorder="1"/>
    <xf numFmtId="3" fontId="0" fillId="0" borderId="16" xfId="0" applyNumberFormat="1" applyBorder="1" applyAlignment="1">
      <alignment horizontal="center" wrapText="1"/>
    </xf>
    <xf numFmtId="3" fontId="0" fillId="0" borderId="41" xfId="0" applyNumberFormat="1" applyBorder="1" applyAlignment="1">
      <alignment horizontal="center" wrapText="1"/>
    </xf>
    <xf numFmtId="0" fontId="0" fillId="0" borderId="26" xfId="0" applyBorder="1"/>
    <xf numFmtId="3" fontId="0" fillId="0" borderId="55" xfId="0" applyNumberFormat="1" applyBorder="1" applyAlignment="1">
      <alignment horizontal="center"/>
    </xf>
    <xf numFmtId="0" fontId="0" fillId="0" borderId="57" xfId="0" applyBorder="1"/>
    <xf numFmtId="3" fontId="0" fillId="0" borderId="63" xfId="0" applyNumberFormat="1" applyBorder="1" applyAlignment="1">
      <alignment horizontal="center"/>
    </xf>
    <xf numFmtId="3" fontId="0" fillId="0" borderId="18" xfId="0" applyNumberFormat="1" applyBorder="1" applyAlignment="1">
      <alignment horizontal="center" wrapText="1"/>
    </xf>
    <xf numFmtId="164" fontId="0" fillId="0" borderId="34" xfId="0" applyNumberFormat="1" applyBorder="1"/>
    <xf numFmtId="3" fontId="0" fillId="24" borderId="51" xfId="0" applyNumberFormat="1" applyFill="1" applyBorder="1" applyProtection="1">
      <protection locked="0"/>
    </xf>
    <xf numFmtId="3" fontId="3" fillId="0" borderId="0" xfId="0" applyNumberFormat="1" applyFont="1"/>
    <xf numFmtId="3" fontId="3" fillId="0" borderId="10" xfId="0" applyNumberFormat="1" applyFont="1" applyBorder="1" applyAlignment="1">
      <alignment horizontal="center"/>
    </xf>
    <xf numFmtId="3" fontId="0" fillId="22" borderId="47" xfId="0" applyNumberFormat="1" applyFill="1" applyBorder="1"/>
    <xf numFmtId="3" fontId="0" fillId="22" borderId="49" xfId="0" applyNumberFormat="1" applyFill="1" applyBorder="1"/>
    <xf numFmtId="3" fontId="0" fillId="22" borderId="68" xfId="0" applyNumberFormat="1" applyFill="1" applyBorder="1"/>
    <xf numFmtId="3" fontId="3" fillId="0" borderId="27" xfId="0" applyNumberFormat="1" applyFont="1" applyBorder="1"/>
    <xf numFmtId="0" fontId="0" fillId="0" borderId="27" xfId="0" applyBorder="1"/>
    <xf numFmtId="3" fontId="3" fillId="0" borderId="27" xfId="0" applyNumberFormat="1" applyFont="1" applyBorder="1" applyAlignment="1">
      <alignment horizontal="left"/>
    </xf>
    <xf numFmtId="3" fontId="3" fillId="0" borderId="57" xfId="0" applyNumberFormat="1" applyFont="1" applyBorder="1"/>
    <xf numFmtId="1" fontId="0" fillId="0" borderId="0" xfId="0" applyNumberFormat="1"/>
    <xf numFmtId="3" fontId="0" fillId="24" borderId="40" xfId="0" applyNumberFormat="1" applyFill="1" applyBorder="1" applyAlignment="1" applyProtection="1">
      <alignment horizontal="center" wrapText="1"/>
      <protection locked="0"/>
    </xf>
    <xf numFmtId="164" fontId="0" fillId="0" borderId="12" xfId="0" applyNumberFormat="1" applyBorder="1"/>
    <xf numFmtId="3" fontId="0" fillId="24" borderId="43" xfId="0" applyNumberFormat="1" applyFill="1" applyBorder="1" applyProtection="1">
      <protection locked="0"/>
    </xf>
    <xf numFmtId="3" fontId="3" fillId="0" borderId="57" xfId="0" applyNumberFormat="1" applyFont="1" applyBorder="1" applyAlignment="1">
      <alignment horizontal="left" wrapText="1"/>
    </xf>
    <xf numFmtId="164" fontId="0" fillId="0" borderId="26" xfId="0" applyNumberFormat="1" applyBorder="1"/>
    <xf numFmtId="0" fontId="0" fillId="0" borderId="81" xfId="0" applyBorder="1"/>
    <xf numFmtId="0" fontId="0" fillId="0" borderId="79" xfId="0" applyBorder="1"/>
    <xf numFmtId="0" fontId="0" fillId="0" borderId="30" xfId="0" applyBorder="1"/>
    <xf numFmtId="0" fontId="0" fillId="0" borderId="23" xfId="0" applyBorder="1"/>
    <xf numFmtId="0" fontId="0" fillId="0" borderId="25" xfId="0" applyBorder="1"/>
    <xf numFmtId="0" fontId="0" fillId="0" borderId="80" xfId="0" applyBorder="1"/>
    <xf numFmtId="0" fontId="2" fillId="0" borderId="21" xfId="0" applyFont="1" applyBorder="1"/>
    <xf numFmtId="166" fontId="6" fillId="0" borderId="0" xfId="0" applyNumberFormat="1" applyFont="1"/>
    <xf numFmtId="14" fontId="6" fillId="0" borderId="0" xfId="0" applyNumberFormat="1" applyFont="1"/>
    <xf numFmtId="3" fontId="2" fillId="0" borderId="41" xfId="0" applyNumberFormat="1" applyFont="1" applyBorder="1" applyAlignment="1">
      <alignment horizontal="center" wrapText="1"/>
    </xf>
    <xf numFmtId="3" fontId="0" fillId="24" borderId="84" xfId="0" applyNumberFormat="1" applyFill="1" applyBorder="1" applyProtection="1">
      <protection locked="0"/>
    </xf>
    <xf numFmtId="0" fontId="2" fillId="0" borderId="0" xfId="0" applyFont="1"/>
    <xf numFmtId="0" fontId="2" fillId="0" borderId="12" xfId="0" applyFont="1" applyBorder="1"/>
    <xf numFmtId="3" fontId="2" fillId="22" borderId="20" xfId="0" applyNumberFormat="1" applyFont="1" applyFill="1" applyBorder="1"/>
    <xf numFmtId="3" fontId="2" fillId="22" borderId="10" xfId="0" applyNumberFormat="1" applyFont="1" applyFill="1" applyBorder="1"/>
    <xf numFmtId="3" fontId="2" fillId="22" borderId="21" xfId="0" applyNumberFormat="1" applyFont="1" applyFill="1" applyBorder="1"/>
    <xf numFmtId="3" fontId="2" fillId="22" borderId="12" xfId="0" applyNumberFormat="1" applyFont="1" applyFill="1" applyBorder="1"/>
    <xf numFmtId="3" fontId="2" fillId="24" borderId="10" xfId="0" applyNumberFormat="1" applyFont="1" applyFill="1" applyBorder="1" applyProtection="1">
      <protection locked="0"/>
    </xf>
    <xf numFmtId="3" fontId="2" fillId="22" borderId="34" xfId="0" applyNumberFormat="1" applyFont="1" applyFill="1" applyBorder="1"/>
    <xf numFmtId="3" fontId="2" fillId="0" borderId="19" xfId="0" applyNumberFormat="1" applyFont="1" applyBorder="1"/>
    <xf numFmtId="3" fontId="2" fillId="0" borderId="0" xfId="0" applyNumberFormat="1" applyFont="1"/>
    <xf numFmtId="3" fontId="2" fillId="24" borderId="20" xfId="0" applyNumberFormat="1" applyFont="1" applyFill="1" applyBorder="1" applyProtection="1">
      <protection locked="0"/>
    </xf>
    <xf numFmtId="3" fontId="2" fillId="22" borderId="22" xfId="0" applyNumberFormat="1" applyFont="1" applyFill="1" applyBorder="1"/>
    <xf numFmtId="3" fontId="2" fillId="22" borderId="52" xfId="0" applyNumberFormat="1" applyFont="1" applyFill="1" applyBorder="1"/>
    <xf numFmtId="3" fontId="2" fillId="0" borderId="30" xfId="0" applyNumberFormat="1" applyFont="1" applyBorder="1"/>
    <xf numFmtId="167" fontId="3" fillId="0" borderId="0" xfId="42" applyNumberFormat="1" applyFont="1" applyAlignment="1">
      <alignment horizontal="left" wrapText="1"/>
    </xf>
    <xf numFmtId="0" fontId="3" fillId="0" borderId="0" xfId="0" applyFont="1" applyAlignment="1">
      <alignment horizontal="right" wrapText="1"/>
    </xf>
    <xf numFmtId="0" fontId="3" fillId="0" borderId="0" xfId="0" applyFont="1" applyAlignment="1">
      <alignment horizontal="left" wrapText="1"/>
    </xf>
    <xf numFmtId="167" fontId="0" fillId="0" borderId="0" xfId="42" applyNumberFormat="1" applyFont="1"/>
    <xf numFmtId="0" fontId="2" fillId="0" borderId="0" xfId="0" applyFont="1" applyAlignment="1">
      <alignment horizontal="right"/>
    </xf>
    <xf numFmtId="3" fontId="2" fillId="0" borderId="26" xfId="0" applyNumberFormat="1" applyFont="1" applyBorder="1" applyAlignment="1">
      <alignment horizontal="right"/>
    </xf>
    <xf numFmtId="0" fontId="0" fillId="0" borderId="0" xfId="0" applyAlignment="1">
      <alignment horizontal="right"/>
    </xf>
    <xf numFmtId="0" fontId="0" fillId="0" borderId="57" xfId="0" applyBorder="1" applyAlignment="1">
      <alignment horizontal="right"/>
    </xf>
    <xf numFmtId="3" fontId="2" fillId="0" borderId="27" xfId="0" applyNumberFormat="1" applyFont="1" applyBorder="1" applyAlignment="1">
      <alignment horizontal="right"/>
    </xf>
    <xf numFmtId="0" fontId="2" fillId="0" borderId="0" xfId="0" applyFont="1" applyAlignment="1">
      <alignment wrapText="1"/>
    </xf>
    <xf numFmtId="1" fontId="3" fillId="0" borderId="0" xfId="0" applyNumberFormat="1" applyFont="1" applyAlignment="1">
      <alignment horizontal="left"/>
    </xf>
    <xf numFmtId="165" fontId="0" fillId="0" borderId="0" xfId="0" applyNumberFormat="1" applyAlignment="1">
      <alignment horizontal="right"/>
    </xf>
    <xf numFmtId="3" fontId="0" fillId="0" borderId="0" xfId="42" applyNumberFormat="1" applyFont="1" applyAlignment="1">
      <alignment horizontal="right"/>
    </xf>
    <xf numFmtId="3" fontId="0" fillId="0" borderId="0" xfId="0" applyNumberFormat="1" applyAlignment="1">
      <alignment horizontal="right"/>
    </xf>
    <xf numFmtId="3" fontId="0" fillId="0" borderId="0" xfId="42" applyNumberFormat="1" applyFont="1" applyAlignment="1">
      <alignment horizontal="right" wrapText="1"/>
    </xf>
    <xf numFmtId="3" fontId="0" fillId="0" borderId="81" xfId="0" applyNumberFormat="1" applyBorder="1" applyAlignment="1">
      <alignment horizontal="center"/>
    </xf>
    <xf numFmtId="3" fontId="0" fillId="0" borderId="0" xfId="0" applyNumberFormat="1" applyAlignment="1">
      <alignment horizontal="center"/>
    </xf>
    <xf numFmtId="0" fontId="2" fillId="0" borderId="17" xfId="0" applyFont="1" applyBorder="1"/>
    <xf numFmtId="0" fontId="2" fillId="0" borderId="66" xfId="0" applyFont="1" applyBorder="1"/>
    <xf numFmtId="3" fontId="0" fillId="0" borderId="0" xfId="0" applyNumberFormat="1" applyAlignment="1">
      <alignment horizontal="left"/>
    </xf>
    <xf numFmtId="3" fontId="0" fillId="24" borderId="17" xfId="0" applyNumberFormat="1" applyFill="1" applyBorder="1" applyAlignment="1" applyProtection="1">
      <alignment horizontal="right"/>
      <protection locked="0"/>
    </xf>
    <xf numFmtId="3" fontId="0" fillId="24" borderId="59" xfId="0" applyNumberFormat="1" applyFill="1" applyBorder="1" applyAlignment="1" applyProtection="1">
      <alignment horizontal="right"/>
      <protection locked="0"/>
    </xf>
    <xf numFmtId="3" fontId="0" fillId="24" borderId="15" xfId="0" applyNumberFormat="1" applyFill="1" applyBorder="1" applyAlignment="1" applyProtection="1">
      <alignment horizontal="right"/>
      <protection locked="0"/>
    </xf>
    <xf numFmtId="3" fontId="0" fillId="24" borderId="58" xfId="0" applyNumberFormat="1" applyFill="1" applyBorder="1" applyAlignment="1" applyProtection="1">
      <alignment horizontal="right"/>
      <protection locked="0"/>
    </xf>
    <xf numFmtId="3" fontId="0" fillId="24" borderId="57" xfId="0" applyNumberFormat="1" applyFill="1" applyBorder="1" applyAlignment="1" applyProtection="1">
      <alignment horizontal="right"/>
      <protection locked="0"/>
    </xf>
    <xf numFmtId="3" fontId="0" fillId="22" borderId="62" xfId="0" applyNumberFormat="1" applyFill="1" applyBorder="1" applyAlignment="1">
      <alignment horizontal="right"/>
    </xf>
    <xf numFmtId="3" fontId="0" fillId="22" borderId="12" xfId="0" applyNumberFormat="1" applyFill="1" applyBorder="1" applyAlignment="1">
      <alignment horizontal="right"/>
    </xf>
    <xf numFmtId="3" fontId="0" fillId="22" borderId="19" xfId="0" applyNumberFormat="1" applyFill="1" applyBorder="1" applyAlignment="1">
      <alignment horizontal="right"/>
    </xf>
    <xf numFmtId="3" fontId="0" fillId="22" borderId="54" xfId="0" applyNumberFormat="1" applyFill="1" applyBorder="1" applyAlignment="1">
      <alignment horizontal="right"/>
    </xf>
    <xf numFmtId="164" fontId="2" fillId="0" borderId="20" xfId="0" applyNumberFormat="1" applyFont="1" applyBorder="1"/>
    <xf numFmtId="3" fontId="2" fillId="24" borderId="12" xfId="0" applyNumberFormat="1" applyFont="1" applyFill="1" applyBorder="1" applyProtection="1">
      <protection locked="0"/>
    </xf>
    <xf numFmtId="3" fontId="2" fillId="23" borderId="21" xfId="0" applyNumberFormat="1" applyFont="1" applyFill="1" applyBorder="1"/>
    <xf numFmtId="168" fontId="0" fillId="0" borderId="0" xfId="43" applyNumberFormat="1" applyFont="1"/>
    <xf numFmtId="38" fontId="2" fillId="0" borderId="10" xfId="0" applyNumberFormat="1" applyFont="1" applyBorder="1" applyAlignment="1">
      <alignment horizontal="right"/>
    </xf>
    <xf numFmtId="38" fontId="3" fillId="0" borderId="10" xfId="0" applyNumberFormat="1" applyFont="1" applyBorder="1" applyAlignment="1">
      <alignment horizontal="center" wrapText="1"/>
    </xf>
    <xf numFmtId="38" fontId="3" fillId="0" borderId="12" xfId="0" applyNumberFormat="1" applyFont="1" applyBorder="1" applyAlignment="1">
      <alignment horizontal="center" wrapText="1"/>
    </xf>
    <xf numFmtId="38" fontId="0" fillId="0" borderId="0" xfId="0" applyNumberFormat="1" applyAlignment="1">
      <alignment wrapText="1"/>
    </xf>
    <xf numFmtId="38" fontId="0" fillId="0" borderId="0" xfId="0" applyNumberFormat="1"/>
    <xf numFmtId="38" fontId="0" fillId="26" borderId="10" xfId="0" applyNumberFormat="1" applyFill="1" applyBorder="1"/>
    <xf numFmtId="38" fontId="3" fillId="0" borderId="26" xfId="0" applyNumberFormat="1" applyFont="1" applyBorder="1" applyAlignment="1">
      <alignment horizontal="left" wrapText="1"/>
    </xf>
    <xf numFmtId="38" fontId="3" fillId="0" borderId="11" xfId="0" applyNumberFormat="1" applyFont="1" applyBorder="1" applyAlignment="1">
      <alignment horizontal="center"/>
    </xf>
    <xf numFmtId="3" fontId="0" fillId="27" borderId="10" xfId="0" applyNumberFormat="1" applyFill="1" applyBorder="1" applyAlignment="1" applyProtection="1">
      <alignment horizontal="right"/>
      <protection locked="0"/>
    </xf>
    <xf numFmtId="3" fontId="0" fillId="27" borderId="21" xfId="0" applyNumberFormat="1" applyFill="1" applyBorder="1" applyAlignment="1" applyProtection="1">
      <alignment horizontal="right"/>
      <protection locked="0"/>
    </xf>
    <xf numFmtId="3" fontId="0" fillId="27" borderId="14" xfId="0" applyNumberFormat="1" applyFill="1" applyBorder="1" applyAlignment="1" applyProtection="1">
      <alignment horizontal="right"/>
      <protection locked="0"/>
    </xf>
    <xf numFmtId="3" fontId="0" fillId="27" borderId="0" xfId="0" applyNumberFormat="1" applyFill="1" applyAlignment="1" applyProtection="1">
      <alignment horizontal="right"/>
      <protection locked="0"/>
    </xf>
    <xf numFmtId="3" fontId="0" fillId="27" borderId="12" xfId="0" applyNumberFormat="1" applyFill="1" applyBorder="1" applyAlignment="1" applyProtection="1">
      <alignment horizontal="right"/>
      <protection locked="0"/>
    </xf>
    <xf numFmtId="3" fontId="0" fillId="27" borderId="37" xfId="0" applyNumberFormat="1" applyFill="1" applyBorder="1" applyAlignment="1" applyProtection="1">
      <alignment horizontal="right"/>
      <protection locked="0"/>
    </xf>
    <xf numFmtId="3" fontId="0" fillId="27" borderId="13" xfId="0" applyNumberFormat="1" applyFill="1" applyBorder="1" applyAlignment="1" applyProtection="1">
      <alignment horizontal="right"/>
      <protection locked="0"/>
    </xf>
    <xf numFmtId="3" fontId="0" fillId="27" borderId="26" xfId="0" applyNumberFormat="1" applyFill="1" applyBorder="1" applyAlignment="1" applyProtection="1">
      <alignment horizontal="right"/>
      <protection locked="0"/>
    </xf>
    <xf numFmtId="3" fontId="0" fillId="27" borderId="69" xfId="0" applyNumberFormat="1" applyFill="1" applyBorder="1" applyAlignment="1" applyProtection="1">
      <alignment horizontal="right"/>
      <protection locked="0"/>
    </xf>
    <xf numFmtId="3" fontId="0" fillId="27" borderId="11" xfId="0" applyNumberFormat="1" applyFill="1" applyBorder="1" applyAlignment="1" applyProtection="1">
      <alignment horizontal="right"/>
      <protection locked="0"/>
    </xf>
    <xf numFmtId="3" fontId="0" fillId="27" borderId="38" xfId="0" applyNumberFormat="1" applyFill="1" applyBorder="1" applyAlignment="1" applyProtection="1">
      <alignment horizontal="right"/>
      <protection locked="0"/>
    </xf>
    <xf numFmtId="3" fontId="0" fillId="27" borderId="39" xfId="0" applyNumberFormat="1" applyFill="1" applyBorder="1" applyAlignment="1" applyProtection="1">
      <alignment horizontal="right"/>
      <protection locked="0"/>
    </xf>
    <xf numFmtId="3" fontId="2" fillId="24" borderId="10" xfId="0" quotePrefix="1" applyNumberFormat="1" applyFont="1" applyFill="1" applyBorder="1" applyProtection="1">
      <protection locked="0"/>
    </xf>
    <xf numFmtId="49" fontId="2" fillId="0" borderId="0" xfId="0" quotePrefix="1" applyNumberFormat="1" applyFont="1"/>
    <xf numFmtId="38" fontId="3" fillId="0" borderId="10" xfId="0" quotePrefix="1" applyNumberFormat="1" applyFont="1" applyBorder="1" applyAlignment="1">
      <alignment horizontal="center" wrapText="1"/>
    </xf>
    <xf numFmtId="0" fontId="5" fillId="0" borderId="0" xfId="44" applyFont="1"/>
    <xf numFmtId="37" fontId="2" fillId="0" borderId="0" xfId="44" quotePrefix="1" applyNumberFormat="1" applyAlignment="1">
      <alignment horizontal="center"/>
    </xf>
    <xf numFmtId="37" fontId="3" fillId="0" borderId="0" xfId="44" quotePrefix="1" applyNumberFormat="1" applyFont="1" applyAlignment="1">
      <alignment horizontal="center"/>
    </xf>
    <xf numFmtId="37" fontId="2" fillId="0" borderId="0" xfId="44" applyNumberFormat="1"/>
    <xf numFmtId="37" fontId="0" fillId="0" borderId="0" xfId="0" applyNumberFormat="1"/>
    <xf numFmtId="0" fontId="2" fillId="0" borderId="0" xfId="45"/>
    <xf numFmtId="37" fontId="5" fillId="0" borderId="0" xfId="44" applyNumberFormat="1" applyFont="1" applyAlignment="1">
      <alignment horizontal="left"/>
    </xf>
    <xf numFmtId="0" fontId="3" fillId="0" borderId="0" xfId="45" applyFont="1" applyAlignment="1">
      <alignment wrapText="1"/>
    </xf>
    <xf numFmtId="170" fontId="3" fillId="0" borderId="0" xfId="45" applyNumberFormat="1" applyFont="1" applyAlignment="1">
      <alignment horizontal="right" wrapText="1"/>
    </xf>
    <xf numFmtId="3" fontId="3" fillId="0" borderId="0" xfId="45" applyNumberFormat="1" applyFont="1" applyAlignment="1">
      <alignment horizontal="right" wrapText="1"/>
    </xf>
    <xf numFmtId="170" fontId="2" fillId="0" borderId="0" xfId="45" applyNumberFormat="1"/>
    <xf numFmtId="3" fontId="2" fillId="0" borderId="0" xfId="45" applyNumberFormat="1"/>
    <xf numFmtId="167" fontId="0" fillId="0" borderId="0" xfId="48" applyNumberFormat="1" applyFont="1" applyAlignment="1">
      <alignment horizontal="right"/>
    </xf>
    <xf numFmtId="167" fontId="3" fillId="0" borderId="0" xfId="48" applyNumberFormat="1" applyFont="1"/>
    <xf numFmtId="170" fontId="3" fillId="0" borderId="0" xfId="45" applyNumberFormat="1" applyFont="1" applyAlignment="1">
      <alignment horizontal="left"/>
    </xf>
    <xf numFmtId="0" fontId="27" fillId="0" borderId="0" xfId="45" applyFont="1" applyAlignment="1">
      <alignment horizontal="left" wrapText="1"/>
    </xf>
    <xf numFmtId="0" fontId="2" fillId="0" borderId="0" xfId="45" applyAlignment="1">
      <alignment horizontal="left"/>
    </xf>
    <xf numFmtId="0" fontId="28" fillId="0" borderId="0" xfId="45" applyFont="1" applyAlignment="1">
      <alignment horizontal="left" wrapText="1"/>
    </xf>
    <xf numFmtId="3" fontId="2" fillId="0" borderId="0" xfId="45" applyNumberFormat="1" applyAlignment="1">
      <alignment horizontal="right"/>
    </xf>
    <xf numFmtId="0" fontId="3" fillId="0" borderId="0" xfId="45" applyFont="1"/>
    <xf numFmtId="0" fontId="2" fillId="0" borderId="0" xfId="45" applyAlignment="1">
      <alignment wrapText="1"/>
    </xf>
    <xf numFmtId="3" fontId="2" fillId="0" borderId="0" xfId="46" applyNumberFormat="1"/>
    <xf numFmtId="168" fontId="2" fillId="0" borderId="27" xfId="0" applyNumberFormat="1" applyFont="1" applyBorder="1" applyAlignment="1">
      <alignment horizontal="right"/>
    </xf>
    <xf numFmtId="168" fontId="2" fillId="0" borderId="26" xfId="0" applyNumberFormat="1" applyFont="1" applyBorder="1" applyAlignment="1">
      <alignment horizontal="right"/>
    </xf>
    <xf numFmtId="168" fontId="0" fillId="0" borderId="26" xfId="0" applyNumberFormat="1" applyBorder="1" applyAlignment="1">
      <alignment horizontal="right" wrapText="1"/>
    </xf>
    <xf numFmtId="167" fontId="0" fillId="0" borderId="0" xfId="42" applyNumberFormat="1" applyFont="1" applyAlignment="1">
      <alignment horizontal="right" wrapText="1"/>
    </xf>
    <xf numFmtId="0" fontId="30" fillId="0" borderId="0" xfId="0" applyFont="1" applyAlignment="1">
      <alignment horizontal="left" indent="1"/>
    </xf>
    <xf numFmtId="167" fontId="29" fillId="0" borderId="0" xfId="42" applyNumberFormat="1" applyFont="1" applyAlignment="1">
      <alignment horizontal="right"/>
    </xf>
    <xf numFmtId="3" fontId="2" fillId="0" borderId="0" xfId="0" applyNumberFormat="1" applyFont="1" applyAlignment="1">
      <alignment horizontal="right"/>
    </xf>
    <xf numFmtId="3" fontId="0" fillId="0" borderId="27" xfId="0" applyNumberFormat="1" applyBorder="1" applyAlignment="1">
      <alignment horizontal="right"/>
    </xf>
    <xf numFmtId="3" fontId="2" fillId="0" borderId="0" xfId="42" applyNumberFormat="1" applyFont="1" applyAlignment="1">
      <alignment horizontal="right" wrapText="1"/>
    </xf>
    <xf numFmtId="0" fontId="0" fillId="27" borderId="27" xfId="0" applyFill="1" applyBorder="1" applyProtection="1">
      <protection locked="0"/>
    </xf>
    <xf numFmtId="0" fontId="0" fillId="27" borderId="26" xfId="0" applyFill="1" applyBorder="1" applyProtection="1">
      <protection locked="0"/>
    </xf>
    <xf numFmtId="3" fontId="0" fillId="0" borderId="81" xfId="0" applyNumberFormat="1" applyBorder="1"/>
    <xf numFmtId="0" fontId="0" fillId="0" borderId="70" xfId="0" applyBorder="1"/>
    <xf numFmtId="0" fontId="0" fillId="0" borderId="31" xfId="0" applyBorder="1"/>
    <xf numFmtId="3" fontId="3" fillId="0" borderId="81" xfId="0" applyNumberFormat="1" applyFont="1" applyBorder="1" applyAlignment="1">
      <alignment horizontal="left"/>
    </xf>
    <xf numFmtId="0" fontId="3" fillId="0" borderId="81" xfId="0" applyFont="1" applyBorder="1" applyAlignment="1">
      <alignment horizontal="left"/>
    </xf>
    <xf numFmtId="0" fontId="5" fillId="0" borderId="0" xfId="0" applyFont="1"/>
    <xf numFmtId="164" fontId="0" fillId="0" borderId="52" xfId="0" applyNumberFormat="1" applyBorder="1"/>
    <xf numFmtId="3" fontId="0" fillId="0" borderId="73" xfId="0" applyNumberFormat="1" applyBorder="1" applyAlignment="1">
      <alignment horizontal="center"/>
    </xf>
    <xf numFmtId="0" fontId="5" fillId="0" borderId="0" xfId="44" applyFont="1" applyAlignment="1">
      <alignment horizontal="centerContinuous"/>
    </xf>
    <xf numFmtId="37" fontId="5" fillId="0" borderId="0" xfId="44" applyNumberFormat="1" applyFont="1" applyAlignment="1">
      <alignment horizontal="centerContinuous"/>
    </xf>
    <xf numFmtId="37" fontId="2" fillId="0" borderId="0" xfId="44" quotePrefix="1" applyNumberFormat="1" applyAlignment="1" applyProtection="1">
      <alignment horizontal="center"/>
      <protection locked="0"/>
    </xf>
    <xf numFmtId="37" fontId="3" fillId="0" borderId="0" xfId="44" quotePrefix="1" applyNumberFormat="1" applyFont="1" applyAlignment="1" applyProtection="1">
      <alignment horizontal="center"/>
      <protection locked="0"/>
    </xf>
    <xf numFmtId="0" fontId="3" fillId="0" borderId="86" xfId="44" applyFont="1" applyBorder="1" applyAlignment="1" applyProtection="1">
      <alignment horizontal="right" wrapText="1"/>
      <protection locked="0"/>
    </xf>
    <xf numFmtId="37" fontId="3" fillId="0" borderId="86" xfId="44" applyNumberFormat="1" applyFont="1" applyBorder="1" applyAlignment="1">
      <alignment horizontal="right" wrapText="1"/>
    </xf>
    <xf numFmtId="0" fontId="2" fillId="0" borderId="0" xfId="44" applyProtection="1">
      <protection locked="0"/>
    </xf>
    <xf numFmtId="3" fontId="2" fillId="0" borderId="0" xfId="44" applyNumberFormat="1"/>
    <xf numFmtId="0" fontId="2" fillId="0" borderId="0" xfId="44" applyAlignment="1" applyProtection="1">
      <alignment horizontal="right"/>
      <protection locked="0"/>
    </xf>
    <xf numFmtId="0" fontId="3" fillId="0" borderId="0" xfId="44" applyFont="1" applyAlignment="1" applyProtection="1">
      <alignment horizontal="right"/>
      <protection locked="0"/>
    </xf>
    <xf numFmtId="37" fontId="3" fillId="0" borderId="0" xfId="44" applyNumberFormat="1" applyFont="1"/>
    <xf numFmtId="3" fontId="3" fillId="0" borderId="0" xfId="44" applyNumberFormat="1" applyFont="1"/>
    <xf numFmtId="37" fontId="2" fillId="0" borderId="0" xfId="0" applyNumberFormat="1" applyFont="1"/>
    <xf numFmtId="169" fontId="3" fillId="0" borderId="0" xfId="0" quotePrefix="1" applyNumberFormat="1" applyFont="1" applyAlignment="1">
      <alignment horizontal="left"/>
    </xf>
    <xf numFmtId="3" fontId="2" fillId="0" borderId="0" xfId="46" applyNumberFormat="1" applyAlignment="1">
      <alignment horizontal="right"/>
    </xf>
    <xf numFmtId="3" fontId="3" fillId="0" borderId="0" xfId="46" applyNumberFormat="1" applyFont="1" applyAlignment="1">
      <alignment horizontal="right"/>
    </xf>
    <xf numFmtId="0" fontId="2" fillId="0" borderId="0" xfId="46" applyAlignment="1">
      <alignment horizontal="right"/>
    </xf>
    <xf numFmtId="0" fontId="3" fillId="0" borderId="0" xfId="46" applyFont="1" applyAlignment="1">
      <alignment horizontal="right"/>
    </xf>
    <xf numFmtId="3" fontId="3" fillId="0" borderId="0" xfId="46" applyNumberFormat="1" applyFont="1"/>
    <xf numFmtId="0" fontId="2" fillId="0" borderId="87" xfId="46" applyBorder="1"/>
    <xf numFmtId="3" fontId="2" fillId="0" borderId="87" xfId="46" applyNumberFormat="1" applyBorder="1"/>
    <xf numFmtId="172" fontId="3" fillId="0" borderId="0" xfId="44" applyNumberFormat="1" applyFont="1" applyAlignment="1">
      <alignment horizontal="left"/>
    </xf>
    <xf numFmtId="3" fontId="2" fillId="0" borderId="0" xfId="46" applyNumberFormat="1" applyAlignment="1">
      <alignment horizontal="centerContinuous"/>
    </xf>
    <xf numFmtId="3" fontId="3" fillId="0" borderId="0" xfId="46" applyNumberFormat="1" applyFont="1" applyAlignment="1">
      <alignment horizontal="centerContinuous"/>
    </xf>
    <xf numFmtId="37" fontId="3" fillId="0" borderId="0" xfId="0" quotePrefix="1" applyNumberFormat="1" applyFont="1"/>
    <xf numFmtId="172" fontId="3" fillId="0" borderId="0" xfId="0" applyNumberFormat="1" applyFont="1" applyAlignment="1">
      <alignment horizontal="left"/>
    </xf>
    <xf numFmtId="0" fontId="3" fillId="0" borderId="27" xfId="0" applyFont="1" applyBorder="1" applyAlignment="1">
      <alignment wrapText="1"/>
    </xf>
    <xf numFmtId="3" fontId="3" fillId="0" borderId="27" xfId="0" applyNumberFormat="1" applyFont="1" applyBorder="1" applyAlignment="1">
      <alignment horizontal="right" wrapText="1"/>
    </xf>
    <xf numFmtId="3" fontId="1" fillId="0" borderId="57" xfId="47" applyNumberFormat="1" applyBorder="1" applyAlignment="1">
      <alignment wrapText="1"/>
    </xf>
    <xf numFmtId="3" fontId="0" fillId="0" borderId="57" xfId="0" applyNumberFormat="1" applyBorder="1" applyAlignment="1">
      <alignment horizontal="right"/>
    </xf>
    <xf numFmtId="3" fontId="1" fillId="0" borderId="0" xfId="47" applyNumberFormat="1" applyAlignment="1">
      <alignment wrapText="1"/>
    </xf>
    <xf numFmtId="3" fontId="31" fillId="0" borderId="0" xfId="47" applyNumberFormat="1" applyFont="1" applyAlignment="1">
      <alignment wrapText="1"/>
    </xf>
    <xf numFmtId="3" fontId="32" fillId="0" borderId="0" xfId="0" applyNumberFormat="1" applyFont="1" applyAlignment="1">
      <alignment horizontal="right"/>
    </xf>
    <xf numFmtId="3" fontId="3" fillId="0" borderId="0" xfId="0" applyNumberFormat="1" applyFont="1" applyAlignment="1">
      <alignment wrapText="1"/>
    </xf>
    <xf numFmtId="14" fontId="2" fillId="0" borderId="0" xfId="0" applyNumberFormat="1" applyFont="1" applyAlignment="1">
      <alignment horizontal="left"/>
    </xf>
    <xf numFmtId="170" fontId="3" fillId="0" borderId="0" xfId="0" applyNumberFormat="1" applyFont="1" applyAlignment="1">
      <alignment horizontal="right" wrapText="1"/>
    </xf>
    <xf numFmtId="170" fontId="0" fillId="0" borderId="0" xfId="0" applyNumberFormat="1"/>
    <xf numFmtId="171" fontId="3" fillId="0" borderId="0" xfId="0" applyNumberFormat="1" applyFont="1"/>
    <xf numFmtId="14" fontId="3" fillId="0" borderId="0" xfId="0" applyNumberFormat="1" applyFont="1" applyAlignment="1">
      <alignment horizontal="left"/>
    </xf>
    <xf numFmtId="0" fontId="0" fillId="0" borderId="0" xfId="49" applyFont="1" applyAlignment="1">
      <alignment horizontal="right"/>
    </xf>
    <xf numFmtId="3" fontId="2" fillId="0" borderId="62" xfId="0" applyNumberFormat="1" applyFont="1" applyBorder="1"/>
    <xf numFmtId="3" fontId="0" fillId="0" borderId="27" xfId="0" applyNumberFormat="1" applyBorder="1"/>
    <xf numFmtId="3" fontId="2" fillId="24" borderId="15" xfId="0" applyNumberFormat="1" applyFont="1" applyFill="1" applyBorder="1" applyProtection="1">
      <protection locked="0"/>
    </xf>
    <xf numFmtId="3" fontId="2" fillId="24" borderId="58" xfId="0" applyNumberFormat="1" applyFont="1" applyFill="1" applyBorder="1" applyProtection="1">
      <protection locked="0"/>
    </xf>
    <xf numFmtId="3" fontId="2" fillId="24" borderId="57" xfId="0" applyNumberFormat="1" applyFont="1" applyFill="1" applyBorder="1" applyProtection="1">
      <protection locked="0"/>
    </xf>
    <xf numFmtId="3" fontId="2" fillId="24" borderId="15" xfId="0" applyNumberFormat="1" applyFont="1" applyFill="1" applyBorder="1" applyAlignment="1" applyProtection="1">
      <alignment horizontal="right"/>
      <protection locked="0"/>
    </xf>
    <xf numFmtId="3" fontId="2" fillId="24" borderId="83" xfId="0" applyNumberFormat="1" applyFont="1" applyFill="1" applyBorder="1" applyAlignment="1" applyProtection="1">
      <alignment horizontal="right"/>
      <protection locked="0"/>
    </xf>
    <xf numFmtId="3" fontId="0" fillId="0" borderId="26" xfId="0" applyNumberFormat="1" applyBorder="1"/>
    <xf numFmtId="167" fontId="0" fillId="0" borderId="27" xfId="42" applyNumberFormat="1" applyFont="1" applyBorder="1"/>
    <xf numFmtId="38" fontId="3" fillId="0" borderId="12" xfId="0" applyNumberFormat="1" applyFont="1" applyBorder="1" applyAlignment="1">
      <alignment horizontal="left" wrapText="1"/>
    </xf>
    <xf numFmtId="3" fontId="2" fillId="22" borderId="38" xfId="0" applyNumberFormat="1" applyFont="1" applyFill="1" applyBorder="1"/>
    <xf numFmtId="3" fontId="2" fillId="22" borderId="37" xfId="0" applyNumberFormat="1" applyFont="1" applyFill="1" applyBorder="1"/>
    <xf numFmtId="3" fontId="2" fillId="22" borderId="53" xfId="0" applyNumberFormat="1" applyFont="1" applyFill="1" applyBorder="1"/>
    <xf numFmtId="3" fontId="2" fillId="24" borderId="37" xfId="0" applyNumberFormat="1" applyFont="1" applyFill="1" applyBorder="1" applyProtection="1">
      <protection locked="0"/>
    </xf>
    <xf numFmtId="3" fontId="2" fillId="22" borderId="84" xfId="0" applyNumberFormat="1" applyFont="1" applyFill="1" applyBorder="1"/>
    <xf numFmtId="3" fontId="2" fillId="22" borderId="83" xfId="0" applyNumberFormat="1" applyFont="1" applyFill="1" applyBorder="1"/>
    <xf numFmtId="3" fontId="2" fillId="22" borderId="57" xfId="0" applyNumberFormat="1" applyFont="1" applyFill="1" applyBorder="1"/>
    <xf numFmtId="3" fontId="2" fillId="22" borderId="51" xfId="0" applyNumberFormat="1" applyFont="1" applyFill="1" applyBorder="1"/>
    <xf numFmtId="3" fontId="2" fillId="0" borderId="51" xfId="0" applyNumberFormat="1" applyFont="1" applyBorder="1"/>
    <xf numFmtId="3" fontId="2" fillId="24" borderId="64" xfId="0" applyNumberFormat="1" applyFont="1" applyFill="1" applyBorder="1" applyProtection="1">
      <protection locked="0"/>
    </xf>
    <xf numFmtId="38" fontId="2" fillId="0" borderId="0" xfId="0" applyNumberFormat="1" applyFont="1" applyAlignment="1">
      <alignment horizontal="left" vertical="top"/>
    </xf>
    <xf numFmtId="0" fontId="34" fillId="0" borderId="0" xfId="0" applyFont="1" applyAlignment="1">
      <alignment vertical="top" wrapText="1"/>
    </xf>
    <xf numFmtId="0" fontId="0" fillId="0" borderId="0" xfId="0" applyAlignment="1">
      <alignment horizontal="center"/>
    </xf>
    <xf numFmtId="0" fontId="3" fillId="0" borderId="0" xfId="0" applyFont="1" applyAlignment="1">
      <alignment horizontal="right"/>
    </xf>
    <xf numFmtId="0" fontId="33" fillId="0" borderId="25" xfId="0" applyFont="1" applyBorder="1" applyAlignment="1" applyProtection="1">
      <alignment horizontal="left"/>
      <protection locked="0"/>
    </xf>
    <xf numFmtId="0" fontId="0" fillId="0" borderId="25" xfId="0" applyBorder="1" applyAlignment="1" applyProtection="1">
      <alignment horizontal="center"/>
      <protection locked="0"/>
    </xf>
    <xf numFmtId="0" fontId="0" fillId="0" borderId="25" xfId="0" applyBorder="1" applyProtection="1">
      <protection locked="0"/>
    </xf>
    <xf numFmtId="0" fontId="3" fillId="0" borderId="25" xfId="0" applyFont="1" applyBorder="1" applyAlignment="1" applyProtection="1">
      <alignment horizontal="right"/>
      <protection locked="0"/>
    </xf>
    <xf numFmtId="0" fontId="3" fillId="0" borderId="0" xfId="0" applyFont="1" applyAlignment="1" applyProtection="1">
      <alignment horizontal="left"/>
      <protection locked="0"/>
    </xf>
    <xf numFmtId="0" fontId="0" fillId="0" borderId="0" xfId="0" applyProtection="1">
      <protection locked="0"/>
    </xf>
    <xf numFmtId="167" fontId="2" fillId="0" borderId="10" xfId="42" applyNumberFormat="1" applyFont="1" applyBorder="1" applyAlignment="1">
      <alignment horizontal="right"/>
    </xf>
    <xf numFmtId="0" fontId="0" fillId="0" borderId="0" xfId="0" applyAlignment="1" applyProtection="1">
      <alignment horizontal="center"/>
      <protection locked="0"/>
    </xf>
    <xf numFmtId="0" fontId="2" fillId="0" borderId="0" xfId="0" applyFont="1" applyAlignment="1">
      <alignment horizontal="center"/>
    </xf>
    <xf numFmtId="0" fontId="3" fillId="0" borderId="14" xfId="0" applyFont="1" applyBorder="1" applyAlignment="1">
      <alignment horizontal="center" wrapText="1"/>
    </xf>
    <xf numFmtId="0" fontId="3" fillId="0" borderId="28" xfId="0" applyFont="1" applyBorder="1" applyAlignment="1">
      <alignment horizontal="center" wrapText="1"/>
    </xf>
    <xf numFmtId="0" fontId="2" fillId="24" borderId="64" xfId="0" applyFont="1" applyFill="1" applyBorder="1" applyAlignment="1" applyProtection="1">
      <alignment horizontal="center" wrapText="1"/>
      <protection locked="0"/>
    </xf>
    <xf numFmtId="0" fontId="2" fillId="24" borderId="31" xfId="0" applyFont="1" applyFill="1" applyBorder="1" applyAlignment="1" applyProtection="1">
      <alignment wrapText="1"/>
      <protection locked="0"/>
    </xf>
    <xf numFmtId="0" fontId="2" fillId="24" borderId="67" xfId="0" applyFont="1" applyFill="1" applyBorder="1" applyAlignment="1" applyProtection="1">
      <alignment wrapText="1"/>
      <protection locked="0"/>
    </xf>
    <xf numFmtId="0" fontId="3" fillId="22" borderId="32" xfId="0" applyFont="1" applyFill="1" applyBorder="1" applyAlignment="1">
      <alignment horizontal="center" wrapText="1"/>
    </xf>
    <xf numFmtId="0" fontId="3" fillId="22" borderId="33" xfId="0" applyFont="1" applyFill="1" applyBorder="1" applyAlignment="1">
      <alignment horizontal="center" wrapText="1"/>
    </xf>
    <xf numFmtId="0" fontId="2" fillId="22" borderId="32" xfId="0" applyFont="1" applyFill="1" applyBorder="1" applyAlignment="1">
      <alignment wrapText="1"/>
    </xf>
    <xf numFmtId="0" fontId="2" fillId="22" borderId="33" xfId="0" applyFont="1" applyFill="1" applyBorder="1" applyAlignment="1">
      <alignment wrapText="1"/>
    </xf>
    <xf numFmtId="0" fontId="2" fillId="22" borderId="35" xfId="0" applyFont="1" applyFill="1" applyBorder="1" applyAlignment="1">
      <alignment wrapText="1"/>
    </xf>
    <xf numFmtId="0" fontId="3" fillId="22" borderId="35" xfId="0" applyFont="1" applyFill="1" applyBorder="1" applyAlignment="1">
      <alignment horizontal="center" wrapText="1"/>
    </xf>
    <xf numFmtId="3" fontId="2" fillId="24" borderId="23" xfId="0" applyNumberFormat="1" applyFont="1" applyFill="1" applyBorder="1" applyAlignment="1" applyProtection="1">
      <alignment horizontal="right"/>
      <protection locked="0"/>
    </xf>
    <xf numFmtId="3" fontId="2" fillId="24" borderId="28" xfId="0" applyNumberFormat="1" applyFont="1" applyFill="1" applyBorder="1" applyAlignment="1" applyProtection="1">
      <alignment horizontal="right"/>
      <protection locked="0"/>
    </xf>
    <xf numFmtId="3" fontId="2" fillId="24" borderId="30" xfId="0" applyNumberFormat="1" applyFont="1" applyFill="1" applyBorder="1" applyAlignment="1" applyProtection="1">
      <alignment horizontal="right"/>
      <protection locked="0"/>
    </xf>
    <xf numFmtId="3" fontId="2" fillId="0" borderId="30" xfId="0" applyNumberFormat="1" applyFont="1" applyBorder="1" applyAlignment="1">
      <alignment horizontal="right"/>
    </xf>
    <xf numFmtId="3" fontId="2" fillId="24" borderId="13" xfId="0" applyNumberFormat="1" applyFont="1" applyFill="1" applyBorder="1" applyAlignment="1" applyProtection="1">
      <alignment horizontal="right"/>
      <protection locked="0"/>
    </xf>
    <xf numFmtId="3" fontId="2" fillId="24" borderId="34" xfId="0" applyNumberFormat="1" applyFont="1" applyFill="1" applyBorder="1" applyAlignment="1" applyProtection="1">
      <alignment horizontal="right"/>
      <protection locked="0"/>
    </xf>
    <xf numFmtId="3" fontId="2" fillId="0" borderId="34" xfId="0" applyNumberFormat="1" applyFont="1" applyBorder="1" applyAlignment="1">
      <alignment horizontal="right"/>
    </xf>
    <xf numFmtId="3" fontId="2" fillId="0" borderId="29" xfId="0" applyNumberFormat="1" applyFont="1" applyBorder="1" applyAlignment="1">
      <alignment horizontal="right"/>
    </xf>
    <xf numFmtId="3" fontId="2" fillId="0" borderId="49" xfId="0" applyNumberFormat="1" applyFont="1" applyBorder="1" applyAlignment="1">
      <alignment horizontal="right"/>
    </xf>
    <xf numFmtId="3" fontId="2" fillId="22" borderId="23" xfId="0" applyNumberFormat="1" applyFont="1" applyFill="1" applyBorder="1" applyAlignment="1">
      <alignment horizontal="right"/>
    </xf>
    <xf numFmtId="3" fontId="3" fillId="22" borderId="28" xfId="0" applyNumberFormat="1" applyFont="1" applyFill="1" applyBorder="1" applyAlignment="1">
      <alignment horizontal="right"/>
    </xf>
    <xf numFmtId="3" fontId="2" fillId="22" borderId="28" xfId="0" applyNumberFormat="1" applyFont="1" applyFill="1" applyBorder="1" applyAlignment="1">
      <alignment horizontal="right"/>
    </xf>
    <xf numFmtId="3" fontId="2" fillId="22" borderId="30" xfId="0" applyNumberFormat="1" applyFont="1" applyFill="1" applyBorder="1" applyAlignment="1">
      <alignment horizontal="right"/>
    </xf>
    <xf numFmtId="3" fontId="2" fillId="24" borderId="13" xfId="0" applyNumberFormat="1" applyFont="1" applyFill="1" applyBorder="1" applyAlignment="1" applyProtection="1">
      <alignment horizontal="right" wrapText="1"/>
      <protection locked="0"/>
    </xf>
    <xf numFmtId="3" fontId="2" fillId="24" borderId="34" xfId="0" applyNumberFormat="1" applyFont="1" applyFill="1" applyBorder="1" applyAlignment="1" applyProtection="1">
      <alignment horizontal="right" wrapText="1"/>
      <protection locked="0"/>
    </xf>
    <xf numFmtId="3" fontId="2" fillId="0" borderId="34" xfId="0" applyNumberFormat="1" applyFont="1" applyBorder="1" applyAlignment="1">
      <alignment horizontal="right" wrapText="1"/>
    </xf>
    <xf numFmtId="0" fontId="2" fillId="0" borderId="44" xfId="0" applyFont="1" applyBorder="1" applyAlignment="1">
      <alignment horizontal="left"/>
    </xf>
    <xf numFmtId="0" fontId="2" fillId="24" borderId="53" xfId="0" applyFont="1" applyFill="1" applyBorder="1" applyAlignment="1" applyProtection="1">
      <alignment horizontal="left"/>
      <protection locked="0"/>
    </xf>
    <xf numFmtId="3" fontId="2" fillId="0" borderId="71" xfId="0" applyNumberFormat="1" applyFont="1" applyBorder="1" applyAlignment="1">
      <alignment horizontal="right"/>
    </xf>
    <xf numFmtId="0" fontId="2" fillId="24" borderId="73" xfId="0" applyFont="1" applyFill="1" applyBorder="1" applyProtection="1">
      <protection locked="0"/>
    </xf>
    <xf numFmtId="0" fontId="2" fillId="24" borderId="94" xfId="0" applyFont="1" applyFill="1" applyBorder="1" applyAlignment="1" applyProtection="1">
      <alignment horizontal="left"/>
      <protection locked="0"/>
    </xf>
    <xf numFmtId="3" fontId="2" fillId="0" borderId="31" xfId="0" applyNumberFormat="1" applyFont="1" applyBorder="1" applyAlignment="1">
      <alignment horizontal="right"/>
    </xf>
    <xf numFmtId="3" fontId="2" fillId="0" borderId="67" xfId="0" applyNumberFormat="1" applyFont="1" applyBorder="1" applyAlignment="1">
      <alignment horizontal="right"/>
    </xf>
    <xf numFmtId="3" fontId="2" fillId="0" borderId="0" xfId="0" applyNumberFormat="1" applyFont="1" applyAlignment="1">
      <alignment horizontal="center"/>
    </xf>
    <xf numFmtId="10" fontId="2" fillId="0" borderId="27" xfId="0" applyNumberFormat="1" applyFont="1" applyBorder="1"/>
    <xf numFmtId="10" fontId="2" fillId="0" borderId="26" xfId="0" applyNumberFormat="1" applyFont="1" applyBorder="1"/>
    <xf numFmtId="10" fontId="2" fillId="0" borderId="0" xfId="0" applyNumberFormat="1" applyFont="1"/>
    <xf numFmtId="0" fontId="2" fillId="0" borderId="26" xfId="0" applyFont="1" applyBorder="1"/>
    <xf numFmtId="14" fontId="2" fillId="0" borderId="0" xfId="0" applyNumberFormat="1" applyFont="1"/>
    <xf numFmtId="14" fontId="0" fillId="0" borderId="0" xfId="0" applyNumberFormat="1"/>
    <xf numFmtId="3" fontId="0" fillId="0" borderId="85" xfId="0" applyNumberFormat="1" applyBorder="1" applyAlignment="1">
      <alignment horizontal="center" wrapText="1"/>
    </xf>
    <xf numFmtId="3" fontId="2" fillId="24" borderId="52" xfId="0" applyNumberFormat="1" applyFont="1" applyFill="1" applyBorder="1" applyProtection="1">
      <protection locked="0"/>
    </xf>
    <xf numFmtId="3" fontId="0" fillId="0" borderId="27" xfId="0" applyNumberFormat="1" applyBorder="1" applyAlignment="1">
      <alignment horizontal="center" wrapText="1"/>
    </xf>
    <xf numFmtId="3" fontId="2" fillId="22" borderId="15" xfId="0" applyNumberFormat="1" applyFont="1" applyFill="1" applyBorder="1"/>
    <xf numFmtId="3" fontId="2" fillId="22" borderId="26" xfId="0" applyNumberFormat="1" applyFont="1" applyFill="1" applyBorder="1"/>
    <xf numFmtId="3" fontId="0" fillId="24" borderId="83" xfId="0" applyNumberFormat="1" applyFill="1" applyBorder="1" applyAlignment="1" applyProtection="1">
      <alignment horizontal="right"/>
      <protection locked="0"/>
    </xf>
    <xf numFmtId="3" fontId="0" fillId="22" borderId="22" xfId="0" applyNumberFormat="1" applyFill="1" applyBorder="1" applyAlignment="1">
      <alignment horizontal="right"/>
    </xf>
    <xf numFmtId="3" fontId="0" fillId="27" borderId="82" xfId="0" applyNumberFormat="1" applyFill="1" applyBorder="1" applyAlignment="1" applyProtection="1">
      <alignment horizontal="right"/>
      <protection locked="0"/>
    </xf>
    <xf numFmtId="3" fontId="3" fillId="0" borderId="48" xfId="0" applyNumberFormat="1" applyFont="1" applyBorder="1" applyAlignment="1">
      <alignment horizontal="center" wrapText="1"/>
    </xf>
    <xf numFmtId="3" fontId="3" fillId="0" borderId="47" xfId="0" applyNumberFormat="1" applyFont="1" applyBorder="1" applyAlignment="1">
      <alignment horizontal="center" wrapText="1"/>
    </xf>
    <xf numFmtId="0" fontId="34" fillId="0" borderId="0" xfId="0" applyFont="1" applyAlignment="1">
      <alignment horizontal="left" vertical="top" wrapText="1"/>
    </xf>
    <xf numFmtId="3" fontId="3" fillId="0" borderId="82" xfId="0" applyNumberFormat="1" applyFont="1" applyBorder="1" applyAlignment="1">
      <alignment horizontal="center" wrapText="1"/>
    </xf>
    <xf numFmtId="3" fontId="3" fillId="0" borderId="28" xfId="0" applyNumberFormat="1" applyFont="1" applyBorder="1" applyAlignment="1">
      <alignment horizontal="center" wrapText="1"/>
    </xf>
    <xf numFmtId="3" fontId="0" fillId="24" borderId="61" xfId="0" applyNumberFormat="1" applyFill="1" applyBorder="1" applyAlignment="1" applyProtection="1">
      <alignment horizontal="right"/>
      <protection locked="0"/>
    </xf>
    <xf numFmtId="3" fontId="0" fillId="27" borderId="34" xfId="0" applyNumberFormat="1" applyFill="1" applyBorder="1" applyAlignment="1" applyProtection="1">
      <alignment horizontal="right"/>
      <protection locked="0"/>
    </xf>
    <xf numFmtId="3" fontId="0" fillId="27" borderId="67" xfId="0" applyNumberFormat="1" applyFill="1" applyBorder="1" applyAlignment="1" applyProtection="1">
      <alignment horizontal="right"/>
      <protection locked="0"/>
    </xf>
    <xf numFmtId="3" fontId="0" fillId="22" borderId="57" xfId="0" applyNumberFormat="1" applyFill="1" applyBorder="1" applyAlignment="1">
      <alignment horizontal="right"/>
    </xf>
    <xf numFmtId="3" fontId="0" fillId="22" borderId="61" xfId="0" applyNumberFormat="1" applyFill="1" applyBorder="1" applyAlignment="1">
      <alignment horizontal="right"/>
    </xf>
    <xf numFmtId="3" fontId="5" fillId="0" borderId="49" xfId="0" applyNumberFormat="1" applyFont="1" applyBorder="1" applyAlignment="1">
      <alignment horizontal="center" vertical="center" wrapText="1"/>
    </xf>
    <xf numFmtId="3" fontId="5" fillId="0" borderId="93" xfId="0" applyNumberFormat="1" applyFont="1" applyBorder="1" applyAlignment="1">
      <alignment horizontal="center" vertical="center" wrapText="1"/>
    </xf>
    <xf numFmtId="3" fontId="3" fillId="0" borderId="33" xfId="0" applyNumberFormat="1" applyFont="1" applyBorder="1" applyAlignment="1">
      <alignment horizontal="center" wrapText="1"/>
    </xf>
    <xf numFmtId="3" fontId="0" fillId="0" borderId="34" xfId="0" applyNumberFormat="1" applyBorder="1" applyAlignment="1">
      <alignment horizontal="center" wrapText="1"/>
    </xf>
    <xf numFmtId="3" fontId="0" fillId="25" borderId="34" xfId="0" applyNumberFormat="1" applyFill="1" applyBorder="1"/>
    <xf numFmtId="3" fontId="0" fillId="22" borderId="51" xfId="0" applyNumberFormat="1" applyFill="1" applyBorder="1" applyAlignment="1">
      <alignment horizontal="right"/>
    </xf>
    <xf numFmtId="3" fontId="0" fillId="0" borderId="24" xfId="0" applyNumberFormat="1" applyBorder="1" applyAlignment="1">
      <alignment horizontal="center" wrapText="1"/>
    </xf>
    <xf numFmtId="3" fontId="2" fillId="0" borderId="24" xfId="0" applyNumberFormat="1" applyFont="1" applyBorder="1" applyAlignment="1">
      <alignment horizontal="center" wrapText="1"/>
    </xf>
    <xf numFmtId="3" fontId="2" fillId="24" borderId="61" xfId="0" applyNumberFormat="1" applyFont="1" applyFill="1" applyBorder="1" applyProtection="1">
      <protection locked="0"/>
    </xf>
    <xf numFmtId="3" fontId="3" fillId="0" borderId="18" xfId="0" applyNumberFormat="1" applyFont="1" applyBorder="1" applyAlignment="1">
      <alignment horizontal="center" wrapText="1"/>
    </xf>
    <xf numFmtId="3" fontId="3" fillId="0" borderId="40" xfId="0" applyNumberFormat="1" applyFont="1" applyBorder="1" applyAlignment="1">
      <alignment horizontal="center" wrapText="1"/>
    </xf>
    <xf numFmtId="3" fontId="3" fillId="0" borderId="56" xfId="0" applyNumberFormat="1" applyFont="1" applyBorder="1" applyAlignment="1">
      <alignment horizontal="center" wrapText="1"/>
    </xf>
    <xf numFmtId="3" fontId="3" fillId="0" borderId="16" xfId="0" applyNumberFormat="1" applyFont="1" applyBorder="1" applyAlignment="1">
      <alignment horizontal="center" wrapText="1"/>
    </xf>
    <xf numFmtId="3" fontId="3" fillId="0" borderId="27" xfId="0" applyNumberFormat="1" applyFont="1" applyBorder="1" applyAlignment="1">
      <alignment horizontal="center" wrapText="1"/>
    </xf>
    <xf numFmtId="3" fontId="5" fillId="0" borderId="49" xfId="0" applyNumberFormat="1" applyFont="1" applyBorder="1" applyAlignment="1">
      <alignment horizontal="center" vertical="center"/>
    </xf>
    <xf numFmtId="3" fontId="3" fillId="0" borderId="85" xfId="0" applyNumberFormat="1" applyFont="1" applyBorder="1" applyAlignment="1">
      <alignment horizontal="center" wrapText="1"/>
    </xf>
    <xf numFmtId="3" fontId="3" fillId="0" borderId="72" xfId="0" applyNumberFormat="1" applyFont="1" applyBorder="1" applyAlignment="1">
      <alignment horizontal="center" wrapText="1"/>
    </xf>
    <xf numFmtId="3" fontId="3" fillId="0" borderId="24" xfId="0" applyNumberFormat="1" applyFont="1" applyBorder="1" applyAlignment="1">
      <alignment horizontal="center" wrapText="1"/>
    </xf>
    <xf numFmtId="3" fontId="3" fillId="0" borderId="50" xfId="0" applyNumberFormat="1" applyFont="1" applyBorder="1" applyAlignment="1">
      <alignment horizontal="center" wrapText="1"/>
    </xf>
    <xf numFmtId="3" fontId="5" fillId="0" borderId="49" xfId="0" applyNumberFormat="1" applyFont="1" applyBorder="1" applyAlignment="1">
      <alignment horizontal="center"/>
    </xf>
    <xf numFmtId="3" fontId="5" fillId="0" borderId="73" xfId="0" applyNumberFormat="1" applyFont="1" applyBorder="1" applyAlignment="1">
      <alignment horizontal="center"/>
    </xf>
    <xf numFmtId="3" fontId="5" fillId="0" borderId="68" xfId="0" applyNumberFormat="1" applyFont="1" applyBorder="1" applyAlignment="1">
      <alignment horizontal="center"/>
    </xf>
    <xf numFmtId="3" fontId="2" fillId="24" borderId="61" xfId="0" applyNumberFormat="1" applyFont="1" applyFill="1" applyBorder="1" applyAlignment="1" applyProtection="1">
      <alignment horizontal="right"/>
      <protection locked="0"/>
    </xf>
    <xf numFmtId="3" fontId="3" fillId="24" borderId="25" xfId="0" applyNumberFormat="1" applyFont="1" applyFill="1" applyBorder="1" applyAlignment="1" applyProtection="1">
      <alignment horizontal="left"/>
      <protection locked="0"/>
    </xf>
    <xf numFmtId="3" fontId="3" fillId="0" borderId="49" xfId="0" applyNumberFormat="1" applyFont="1" applyBorder="1" applyAlignment="1">
      <alignment horizontal="center" wrapText="1"/>
    </xf>
    <xf numFmtId="3" fontId="2" fillId="25" borderId="34" xfId="0" applyNumberFormat="1" applyFont="1" applyFill="1" applyBorder="1"/>
    <xf numFmtId="3" fontId="3" fillId="0" borderId="41" xfId="0" applyNumberFormat="1" applyFont="1" applyBorder="1" applyAlignment="1">
      <alignment horizontal="center" wrapText="1"/>
    </xf>
    <xf numFmtId="3" fontId="3" fillId="0" borderId="93" xfId="0" applyNumberFormat="1" applyFont="1" applyBorder="1" applyAlignment="1">
      <alignment horizontal="center" wrapText="1"/>
    </xf>
    <xf numFmtId="3" fontId="3" fillId="0" borderId="55" xfId="0" applyNumberFormat="1" applyFont="1" applyBorder="1" applyAlignment="1">
      <alignment horizontal="center" wrapText="1"/>
    </xf>
    <xf numFmtId="3" fontId="3" fillId="0" borderId="46" xfId="0" applyNumberFormat="1" applyFont="1" applyBorder="1" applyAlignment="1">
      <alignment horizontal="center" wrapText="1"/>
    </xf>
    <xf numFmtId="3" fontId="3" fillId="0" borderId="90" xfId="0" applyNumberFormat="1" applyFont="1" applyBorder="1" applyAlignment="1">
      <alignment horizontal="center" wrapText="1"/>
    </xf>
    <xf numFmtId="3" fontId="0" fillId="27" borderId="22" xfId="0" applyNumberFormat="1" applyFill="1" applyBorder="1" applyAlignment="1" applyProtection="1">
      <alignment horizontal="right"/>
      <protection locked="0"/>
    </xf>
    <xf numFmtId="3" fontId="2" fillId="22" borderId="13" xfId="0" applyNumberFormat="1" applyFont="1" applyFill="1" applyBorder="1"/>
    <xf numFmtId="164" fontId="0" fillId="0" borderId="13" xfId="0" applyNumberFormat="1" applyBorder="1"/>
    <xf numFmtId="3" fontId="0" fillId="27" borderId="23" xfId="0" applyNumberFormat="1" applyFill="1" applyBorder="1" applyAlignment="1" applyProtection="1">
      <alignment horizontal="right"/>
      <protection locked="0"/>
    </xf>
    <xf numFmtId="3" fontId="0" fillId="27" borderId="64" xfId="0" applyNumberFormat="1" applyFill="1" applyBorder="1" applyAlignment="1" applyProtection="1">
      <alignment horizontal="right"/>
      <protection locked="0"/>
    </xf>
    <xf numFmtId="3" fontId="0" fillId="27" borderId="95" xfId="0" applyNumberFormat="1" applyFill="1" applyBorder="1" applyAlignment="1" applyProtection="1">
      <alignment horizontal="right"/>
      <protection locked="0"/>
    </xf>
    <xf numFmtId="3" fontId="3" fillId="0" borderId="97" xfId="0" applyNumberFormat="1" applyFont="1" applyBorder="1" applyAlignment="1">
      <alignment horizontal="center" wrapText="1"/>
    </xf>
    <xf numFmtId="169" fontId="0" fillId="0" borderId="0" xfId="0" quotePrefix="1" applyNumberFormat="1" applyAlignment="1">
      <alignment horizontal="left"/>
    </xf>
    <xf numFmtId="0" fontId="37" fillId="0" borderId="0" xfId="0" applyFont="1"/>
    <xf numFmtId="3" fontId="0" fillId="24" borderId="53" xfId="0" applyNumberFormat="1" applyFill="1" applyBorder="1" applyProtection="1">
      <protection locked="0"/>
    </xf>
    <xf numFmtId="3" fontId="5" fillId="0" borderId="24" xfId="44" applyNumberFormat="1" applyFont="1" applyBorder="1" applyAlignment="1">
      <alignment horizontal="center"/>
    </xf>
    <xf numFmtId="3" fontId="3" fillId="0" borderId="34" xfId="44" applyNumberFormat="1" applyFont="1" applyBorder="1" applyAlignment="1">
      <alignment horizontal="center" wrapText="1"/>
    </xf>
    <xf numFmtId="3" fontId="2" fillId="23" borderId="34" xfId="44" applyNumberFormat="1" applyFill="1" applyBorder="1"/>
    <xf numFmtId="3" fontId="2" fillId="24" borderId="34" xfId="44" applyNumberFormat="1" applyFill="1" applyBorder="1" applyProtection="1">
      <protection locked="0"/>
    </xf>
    <xf numFmtId="3" fontId="2" fillId="22" borderId="34" xfId="44" applyNumberFormat="1" applyFill="1" applyBorder="1"/>
    <xf numFmtId="3" fontId="0" fillId="22" borderId="33" xfId="0" applyNumberFormat="1" applyFill="1" applyBorder="1"/>
    <xf numFmtId="3" fontId="5" fillId="0" borderId="49" xfId="44" applyNumberFormat="1" applyFont="1" applyBorder="1" applyAlignment="1">
      <alignment horizontal="center" vertical="center" wrapText="1"/>
    </xf>
    <xf numFmtId="3" fontId="2" fillId="22" borderId="51" xfId="44" applyNumberFormat="1" applyFill="1" applyBorder="1"/>
    <xf numFmtId="3" fontId="3" fillId="0" borderId="99" xfId="0" applyNumberFormat="1" applyFont="1" applyBorder="1" applyAlignment="1">
      <alignment horizontal="center" wrapText="1"/>
    </xf>
    <xf numFmtId="3" fontId="2" fillId="22" borderId="100" xfId="0" applyNumberFormat="1" applyFont="1" applyFill="1" applyBorder="1"/>
    <xf numFmtId="3" fontId="0" fillId="22" borderId="100" xfId="0" applyNumberFormat="1" applyFill="1" applyBorder="1"/>
    <xf numFmtId="3" fontId="0" fillId="22" borderId="103" xfId="0" applyNumberFormat="1" applyFill="1" applyBorder="1" applyAlignment="1">
      <alignment horizontal="right"/>
    </xf>
    <xf numFmtId="3" fontId="0" fillId="22" borderId="100" xfId="0" applyNumberFormat="1" applyFill="1" applyBorder="1" applyAlignment="1">
      <alignment horizontal="right"/>
    </xf>
    <xf numFmtId="3" fontId="0" fillId="22" borderId="104" xfId="0" applyNumberFormat="1" applyFill="1" applyBorder="1" applyAlignment="1">
      <alignment horizontal="right"/>
    </xf>
    <xf numFmtId="3" fontId="3" fillId="0" borderId="71" xfId="44" applyNumberFormat="1" applyFont="1" applyBorder="1" applyAlignment="1">
      <alignment horizontal="center" wrapText="1"/>
    </xf>
    <xf numFmtId="0" fontId="2" fillId="0" borderId="0" xfId="0" applyFont="1" applyAlignment="1">
      <alignment horizontal="left"/>
    </xf>
    <xf numFmtId="0" fontId="0" fillId="0" borderId="0" xfId="0" applyAlignment="1">
      <alignment horizontal="left"/>
    </xf>
    <xf numFmtId="0" fontId="0" fillId="0" borderId="27" xfId="0" applyBorder="1" applyAlignment="1">
      <alignment horizontal="left"/>
    </xf>
    <xf numFmtId="170" fontId="0" fillId="0" borderId="27" xfId="0" applyNumberFormat="1" applyBorder="1"/>
    <xf numFmtId="166" fontId="6" fillId="0" borderId="0" xfId="0" quotePrefix="1" applyNumberFormat="1" applyFont="1" applyAlignment="1">
      <alignment horizontal="left"/>
    </xf>
    <xf numFmtId="0" fontId="2" fillId="0" borderId="0" xfId="45" quotePrefix="1"/>
    <xf numFmtId="38" fontId="2" fillId="24" borderId="10" xfId="0" applyNumberFormat="1" applyFont="1" applyFill="1" applyBorder="1" applyAlignment="1" applyProtection="1">
      <alignment horizontal="right"/>
      <protection locked="0"/>
    </xf>
    <xf numFmtId="38" fontId="2" fillId="22" borderId="10" xfId="0" applyNumberFormat="1" applyFont="1" applyFill="1" applyBorder="1" applyAlignment="1">
      <alignment horizontal="right"/>
    </xf>
    <xf numFmtId="38" fontId="2" fillId="0" borderId="12" xfId="0" applyNumberFormat="1" applyFont="1" applyBorder="1"/>
    <xf numFmtId="38" fontId="2" fillId="0" borderId="0" xfId="0" applyNumberFormat="1" applyFont="1" applyAlignment="1">
      <alignment horizontal="right"/>
    </xf>
    <xf numFmtId="38" fontId="2" fillId="0" borderId="0" xfId="0" applyNumberFormat="1" applyFont="1" applyAlignment="1" applyProtection="1">
      <alignment horizontal="right"/>
      <protection locked="0"/>
    </xf>
    <xf numFmtId="38" fontId="2" fillId="0" borderId="11" xfId="0" applyNumberFormat="1" applyFont="1" applyBorder="1" applyAlignment="1">
      <alignment horizontal="right"/>
    </xf>
    <xf numFmtId="3" fontId="2" fillId="0" borderId="57" xfId="0" applyNumberFormat="1" applyFont="1" applyBorder="1" applyAlignment="1">
      <alignment horizontal="right"/>
    </xf>
    <xf numFmtId="3" fontId="2" fillId="0" borderId="0" xfId="0" quotePrefix="1" applyNumberFormat="1" applyFont="1"/>
    <xf numFmtId="3" fontId="2" fillId="23" borderId="20" xfId="0" applyNumberFormat="1" applyFont="1" applyFill="1" applyBorder="1"/>
    <xf numFmtId="3" fontId="2" fillId="23" borderId="10" xfId="0" applyNumberFormat="1" applyFont="1" applyFill="1" applyBorder="1"/>
    <xf numFmtId="3" fontId="2" fillId="23" borderId="22" xfId="0" applyNumberFormat="1" applyFont="1" applyFill="1" applyBorder="1"/>
    <xf numFmtId="3" fontId="2" fillId="23" borderId="12" xfId="0" applyNumberFormat="1" applyFont="1" applyFill="1" applyBorder="1"/>
    <xf numFmtId="3" fontId="2" fillId="23" borderId="52" xfId="0" applyNumberFormat="1" applyFont="1" applyFill="1" applyBorder="1"/>
    <xf numFmtId="3" fontId="2" fillId="23" borderId="34" xfId="0" applyNumberFormat="1" applyFont="1" applyFill="1" applyBorder="1"/>
    <xf numFmtId="3" fontId="2" fillId="23" borderId="19" xfId="0" applyNumberFormat="1" applyFont="1" applyFill="1" applyBorder="1"/>
    <xf numFmtId="3" fontId="2" fillId="24" borderId="22" xfId="0" applyNumberFormat="1" applyFont="1" applyFill="1" applyBorder="1" applyProtection="1">
      <protection locked="0"/>
    </xf>
    <xf numFmtId="3" fontId="2" fillId="24" borderId="21" xfId="0" applyNumberFormat="1" applyFont="1" applyFill="1" applyBorder="1" applyProtection="1">
      <protection locked="0"/>
    </xf>
    <xf numFmtId="3" fontId="2" fillId="27" borderId="10" xfId="0" applyNumberFormat="1" applyFont="1" applyFill="1" applyBorder="1" applyProtection="1">
      <protection locked="0"/>
    </xf>
    <xf numFmtId="3" fontId="2" fillId="24" borderId="34" xfId="0" applyNumberFormat="1" applyFont="1" applyFill="1" applyBorder="1" applyProtection="1">
      <protection locked="0"/>
    </xf>
    <xf numFmtId="3" fontId="2" fillId="26" borderId="10" xfId="0" applyNumberFormat="1" applyFont="1" applyFill="1" applyBorder="1"/>
    <xf numFmtId="3" fontId="2" fillId="22" borderId="42" xfId="0" applyNumberFormat="1" applyFont="1" applyFill="1" applyBorder="1"/>
    <xf numFmtId="3" fontId="2" fillId="23" borderId="23" xfId="0" applyNumberFormat="1" applyFont="1" applyFill="1" applyBorder="1"/>
    <xf numFmtId="3" fontId="2" fillId="23" borderId="42" xfId="0" applyNumberFormat="1" applyFont="1" applyFill="1" applyBorder="1"/>
    <xf numFmtId="3" fontId="2" fillId="23" borderId="82" xfId="0" applyNumberFormat="1" applyFont="1" applyFill="1" applyBorder="1"/>
    <xf numFmtId="3" fontId="2" fillId="22" borderId="23" xfId="0" applyNumberFormat="1" applyFont="1" applyFill="1" applyBorder="1"/>
    <xf numFmtId="3" fontId="2" fillId="22" borderId="82" xfId="0" applyNumberFormat="1" applyFont="1" applyFill="1" applyBorder="1"/>
    <xf numFmtId="0" fontId="2" fillId="0" borderId="59" xfId="0" applyFont="1" applyBorder="1"/>
    <xf numFmtId="3" fontId="2" fillId="24" borderId="17" xfId="0" applyNumberFormat="1" applyFont="1" applyFill="1" applyBorder="1" applyProtection="1">
      <protection locked="0"/>
    </xf>
    <xf numFmtId="3" fontId="2" fillId="24" borderId="83" xfId="0" applyNumberFormat="1" applyFont="1" applyFill="1" applyBorder="1" applyProtection="1">
      <protection locked="0"/>
    </xf>
    <xf numFmtId="3" fontId="2" fillId="24" borderId="60" xfId="0" applyNumberFormat="1" applyFont="1" applyFill="1" applyBorder="1" applyProtection="1">
      <protection locked="0"/>
    </xf>
    <xf numFmtId="3" fontId="2" fillId="24" borderId="59" xfId="0" applyNumberFormat="1" applyFont="1" applyFill="1" applyBorder="1" applyProtection="1">
      <protection locked="0"/>
    </xf>
    <xf numFmtId="3" fontId="2" fillId="0" borderId="48" xfId="0" applyNumberFormat="1" applyFont="1" applyBorder="1" applyAlignment="1">
      <alignment horizontal="right"/>
    </xf>
    <xf numFmtId="3" fontId="2" fillId="0" borderId="46" xfId="0" applyNumberFormat="1" applyFont="1" applyBorder="1" applyAlignment="1">
      <alignment horizontal="right"/>
    </xf>
    <xf numFmtId="3" fontId="2" fillId="0" borderId="63" xfId="0" applyNumberFormat="1" applyFont="1" applyBorder="1" applyAlignment="1">
      <alignment horizontal="right"/>
    </xf>
    <xf numFmtId="3" fontId="2" fillId="0" borderId="55" xfId="0" applyNumberFormat="1" applyFont="1" applyBorder="1" applyAlignment="1">
      <alignment horizontal="right"/>
    </xf>
    <xf numFmtId="3" fontId="2" fillId="0" borderId="47" xfId="0" applyNumberFormat="1" applyFont="1" applyBorder="1" applyAlignment="1">
      <alignment horizontal="right"/>
    </xf>
    <xf numFmtId="3" fontId="2" fillId="0" borderId="73" xfId="0" applyNumberFormat="1" applyFont="1" applyBorder="1" applyAlignment="1">
      <alignment horizontal="right"/>
    </xf>
    <xf numFmtId="3" fontId="2" fillId="0" borderId="91" xfId="0" applyNumberFormat="1" applyFont="1" applyBorder="1" applyAlignment="1">
      <alignment horizontal="right"/>
    </xf>
    <xf numFmtId="3" fontId="2" fillId="0" borderId="68" xfId="0" applyNumberFormat="1" applyFont="1" applyBorder="1" applyAlignment="1">
      <alignment horizontal="right"/>
    </xf>
    <xf numFmtId="3" fontId="2" fillId="24" borderId="56" xfId="0" applyNumberFormat="1" applyFont="1" applyFill="1" applyBorder="1" applyAlignment="1" applyProtection="1">
      <alignment horizontal="right"/>
      <protection locked="0"/>
    </xf>
    <xf numFmtId="3" fontId="2" fillId="24" borderId="16" xfId="0" applyNumberFormat="1" applyFont="1" applyFill="1" applyBorder="1" applyAlignment="1" applyProtection="1">
      <alignment horizontal="right"/>
      <protection locked="0"/>
    </xf>
    <xf numFmtId="3" fontId="2" fillId="24" borderId="85" xfId="0" applyNumberFormat="1" applyFont="1" applyFill="1" applyBorder="1" applyAlignment="1" applyProtection="1">
      <alignment horizontal="right"/>
      <protection locked="0"/>
    </xf>
    <xf numFmtId="3" fontId="2" fillId="24" borderId="18" xfId="0" applyNumberFormat="1" applyFont="1" applyFill="1" applyBorder="1" applyAlignment="1" applyProtection="1">
      <alignment horizontal="right"/>
      <protection locked="0"/>
    </xf>
    <xf numFmtId="3" fontId="2" fillId="24" borderId="40" xfId="0" applyNumberFormat="1" applyFont="1" applyFill="1" applyBorder="1" applyAlignment="1" applyProtection="1">
      <alignment horizontal="right"/>
      <protection locked="0"/>
    </xf>
    <xf numFmtId="3" fontId="2" fillId="24" borderId="97" xfId="0" applyNumberFormat="1" applyFont="1" applyFill="1" applyBorder="1" applyAlignment="1" applyProtection="1">
      <alignment horizontal="right"/>
      <protection locked="0"/>
    </xf>
    <xf numFmtId="3" fontId="2" fillId="24" borderId="90" xfId="0" applyNumberFormat="1" applyFont="1" applyFill="1" applyBorder="1" applyAlignment="1" applyProtection="1">
      <alignment horizontal="right"/>
      <protection locked="0"/>
    </xf>
    <xf numFmtId="3" fontId="2" fillId="24" borderId="98" xfId="0" applyNumberFormat="1" applyFont="1" applyFill="1" applyBorder="1" applyAlignment="1" applyProtection="1">
      <alignment horizontal="right"/>
      <protection locked="0"/>
    </xf>
    <xf numFmtId="3" fontId="2" fillId="24" borderId="35" xfId="0" applyNumberFormat="1" applyFont="1" applyFill="1" applyBorder="1" applyAlignment="1" applyProtection="1">
      <alignment horizontal="right"/>
      <protection locked="0"/>
    </xf>
    <xf numFmtId="3" fontId="2" fillId="24" borderId="24" xfId="0" applyNumberFormat="1" applyFont="1" applyFill="1" applyBorder="1" applyAlignment="1" applyProtection="1">
      <alignment horizontal="right"/>
      <protection locked="0"/>
    </xf>
    <xf numFmtId="3" fontId="2" fillId="0" borderId="50" xfId="0" applyNumberFormat="1" applyFont="1" applyBorder="1" applyAlignment="1">
      <alignment horizontal="right"/>
    </xf>
    <xf numFmtId="3" fontId="2" fillId="24" borderId="42" xfId="0" applyNumberFormat="1" applyFont="1" applyFill="1" applyBorder="1" applyAlignment="1" applyProtection="1">
      <alignment horizontal="right"/>
      <protection locked="0"/>
    </xf>
    <xf numFmtId="3" fontId="2" fillId="24" borderId="14" xfId="0" applyNumberFormat="1" applyFont="1" applyFill="1" applyBorder="1" applyAlignment="1" applyProtection="1">
      <alignment horizontal="right"/>
      <protection locked="0"/>
    </xf>
    <xf numFmtId="3" fontId="2" fillId="24" borderId="82" xfId="0" applyNumberFormat="1" applyFont="1" applyFill="1" applyBorder="1" applyAlignment="1" applyProtection="1">
      <alignment horizontal="right"/>
      <protection locked="0"/>
    </xf>
    <xf numFmtId="3" fontId="2" fillId="24" borderId="69" xfId="0" applyNumberFormat="1" applyFont="1" applyFill="1" applyBorder="1" applyAlignment="1" applyProtection="1">
      <alignment horizontal="right"/>
      <protection locked="0"/>
    </xf>
    <xf numFmtId="3" fontId="2" fillId="22" borderId="54" xfId="0" applyNumberFormat="1" applyFont="1" applyFill="1" applyBorder="1" applyAlignment="1">
      <alignment horizontal="right"/>
    </xf>
    <xf numFmtId="3" fontId="2" fillId="22" borderId="50" xfId="0" applyNumberFormat="1" applyFont="1" applyFill="1" applyBorder="1" applyAlignment="1">
      <alignment horizontal="right"/>
    </xf>
    <xf numFmtId="3" fontId="2" fillId="22" borderId="50" xfId="0" applyNumberFormat="1" applyFont="1" applyFill="1" applyBorder="1" applyAlignment="1">
      <alignment horizontal="center"/>
    </xf>
    <xf numFmtId="1" fontId="2" fillId="0" borderId="0" xfId="0" applyNumberFormat="1" applyFont="1" applyAlignment="1">
      <alignment horizontal="right"/>
    </xf>
    <xf numFmtId="3" fontId="2" fillId="23" borderId="26" xfId="0" applyNumberFormat="1" applyFont="1" applyFill="1" applyBorder="1"/>
    <xf numFmtId="3" fontId="2" fillId="23" borderId="100" xfId="0" applyNumberFormat="1" applyFont="1" applyFill="1" applyBorder="1"/>
    <xf numFmtId="3" fontId="2" fillId="24" borderId="26" xfId="0" applyNumberFormat="1" applyFont="1" applyFill="1" applyBorder="1" applyProtection="1">
      <protection locked="0"/>
    </xf>
    <xf numFmtId="3" fontId="2" fillId="24" borderId="13" xfId="0" applyNumberFormat="1" applyFont="1" applyFill="1" applyBorder="1" applyProtection="1">
      <protection locked="0"/>
    </xf>
    <xf numFmtId="3" fontId="2" fillId="24" borderId="100" xfId="0" applyNumberFormat="1" applyFont="1" applyFill="1" applyBorder="1" applyProtection="1">
      <protection locked="0"/>
    </xf>
    <xf numFmtId="3" fontId="2" fillId="23" borderId="13" xfId="0" applyNumberFormat="1" applyFont="1" applyFill="1" applyBorder="1"/>
    <xf numFmtId="3" fontId="2" fillId="24" borderId="51" xfId="0" applyNumberFormat="1" applyFont="1" applyFill="1" applyBorder="1" applyProtection="1">
      <protection locked="0"/>
    </xf>
    <xf numFmtId="3" fontId="2" fillId="0" borderId="93" xfId="0" applyNumberFormat="1" applyFont="1" applyBorder="1" applyAlignment="1">
      <alignment horizontal="right"/>
    </xf>
    <xf numFmtId="3" fontId="2" fillId="24" borderId="67" xfId="0" applyNumberFormat="1" applyFont="1" applyFill="1" applyBorder="1" applyAlignment="1" applyProtection="1">
      <alignment horizontal="right"/>
      <protection locked="0"/>
    </xf>
    <xf numFmtId="3" fontId="2" fillId="24" borderId="25" xfId="0" applyNumberFormat="1" applyFont="1" applyFill="1" applyBorder="1" applyAlignment="1" applyProtection="1">
      <alignment horizontal="right"/>
      <protection locked="0"/>
    </xf>
    <xf numFmtId="3" fontId="2" fillId="24" borderId="49" xfId="0" applyNumberFormat="1" applyFont="1" applyFill="1" applyBorder="1" applyAlignment="1" applyProtection="1">
      <alignment horizontal="right"/>
      <protection locked="0"/>
    </xf>
    <xf numFmtId="3" fontId="2" fillId="24" borderId="95" xfId="0" applyNumberFormat="1" applyFont="1" applyFill="1" applyBorder="1" applyAlignment="1" applyProtection="1">
      <alignment horizontal="right"/>
      <protection locked="0"/>
    </xf>
    <xf numFmtId="3" fontId="2" fillId="24" borderId="64" xfId="0" applyNumberFormat="1" applyFont="1" applyFill="1" applyBorder="1" applyAlignment="1" applyProtection="1">
      <alignment horizontal="right"/>
      <protection locked="0"/>
    </xf>
    <xf numFmtId="3" fontId="2" fillId="24" borderId="65" xfId="0" applyNumberFormat="1" applyFont="1" applyFill="1" applyBorder="1" applyAlignment="1" applyProtection="1">
      <alignment horizontal="right"/>
      <protection locked="0"/>
    </xf>
    <xf numFmtId="3" fontId="2" fillId="24" borderId="31" xfId="0" applyNumberFormat="1" applyFont="1" applyFill="1" applyBorder="1" applyAlignment="1" applyProtection="1">
      <alignment horizontal="right"/>
      <protection locked="0"/>
    </xf>
    <xf numFmtId="3" fontId="2" fillId="24" borderId="66" xfId="0" applyNumberFormat="1" applyFont="1" applyFill="1" applyBorder="1" applyAlignment="1" applyProtection="1">
      <alignment horizontal="right"/>
      <protection locked="0"/>
    </xf>
    <xf numFmtId="3" fontId="2" fillId="24" borderId="101" xfId="0" applyNumberFormat="1" applyFont="1" applyFill="1" applyBorder="1" applyAlignment="1" applyProtection="1">
      <alignment horizontal="right"/>
      <protection locked="0"/>
    </xf>
    <xf numFmtId="3" fontId="2" fillId="0" borderId="92" xfId="0" applyNumberFormat="1" applyFont="1" applyBorder="1"/>
    <xf numFmtId="3" fontId="2" fillId="22" borderId="99" xfId="0" applyNumberFormat="1" applyFont="1" applyFill="1" applyBorder="1" applyAlignment="1">
      <alignment horizontal="center"/>
    </xf>
    <xf numFmtId="3" fontId="2" fillId="23" borderId="28" xfId="0" applyNumberFormat="1" applyFont="1" applyFill="1" applyBorder="1"/>
    <xf numFmtId="3" fontId="2" fillId="23" borderId="85" xfId="0" applyNumberFormat="1" applyFont="1" applyFill="1" applyBorder="1"/>
    <xf numFmtId="3" fontId="2" fillId="23" borderId="18" xfId="0" applyNumberFormat="1" applyFont="1" applyFill="1" applyBorder="1"/>
    <xf numFmtId="3" fontId="2" fillId="23" borderId="40" xfId="0" applyNumberFormat="1" applyFont="1" applyFill="1" applyBorder="1"/>
    <xf numFmtId="3" fontId="2" fillId="23" borderId="16" xfId="0" applyNumberFormat="1" applyFont="1" applyFill="1" applyBorder="1"/>
    <xf numFmtId="3" fontId="2" fillId="23" borderId="27" xfId="0" applyNumberFormat="1" applyFont="1" applyFill="1" applyBorder="1"/>
    <xf numFmtId="3" fontId="2" fillId="23" borderId="50" xfId="0" applyNumberFormat="1" applyFont="1" applyFill="1" applyBorder="1"/>
    <xf numFmtId="0" fontId="2" fillId="23" borderId="34" xfId="0" applyFont="1" applyFill="1" applyBorder="1"/>
    <xf numFmtId="3" fontId="2" fillId="24" borderId="33" xfId="0" applyNumberFormat="1" applyFont="1" applyFill="1" applyBorder="1" applyProtection="1">
      <protection locked="0"/>
    </xf>
    <xf numFmtId="3" fontId="2" fillId="24" borderId="24" xfId="0" applyNumberFormat="1" applyFont="1" applyFill="1" applyBorder="1" applyProtection="1">
      <protection locked="0"/>
    </xf>
    <xf numFmtId="3" fontId="2" fillId="0" borderId="34" xfId="0" applyNumberFormat="1" applyFont="1" applyBorder="1"/>
    <xf numFmtId="3" fontId="2" fillId="24" borderId="57" xfId="0" applyNumberFormat="1" applyFont="1" applyFill="1" applyBorder="1" applyAlignment="1" applyProtection="1">
      <alignment horizontal="right"/>
      <protection locked="0"/>
    </xf>
    <xf numFmtId="3" fontId="2" fillId="24" borderId="58" xfId="0" applyNumberFormat="1" applyFont="1" applyFill="1" applyBorder="1" applyAlignment="1" applyProtection="1">
      <alignment horizontal="right"/>
      <protection locked="0"/>
    </xf>
    <xf numFmtId="3" fontId="2" fillId="24" borderId="51" xfId="0" applyNumberFormat="1" applyFont="1" applyFill="1" applyBorder="1" applyAlignment="1" applyProtection="1">
      <alignment horizontal="right"/>
      <protection locked="0"/>
    </xf>
    <xf numFmtId="3" fontId="2" fillId="0" borderId="61" xfId="0" applyNumberFormat="1" applyFont="1" applyBorder="1"/>
    <xf numFmtId="3" fontId="2" fillId="0" borderId="78" xfId="0" applyNumberFormat="1" applyFont="1" applyBorder="1" applyAlignment="1">
      <alignment horizontal="right"/>
    </xf>
    <xf numFmtId="3" fontId="2" fillId="0" borderId="74" xfId="0" applyNumberFormat="1" applyFont="1" applyBorder="1" applyAlignment="1">
      <alignment horizontal="right"/>
    </xf>
    <xf numFmtId="3" fontId="2" fillId="0" borderId="76" xfId="0" applyNumberFormat="1" applyFont="1" applyBorder="1" applyAlignment="1">
      <alignment horizontal="right"/>
    </xf>
    <xf numFmtId="3" fontId="2" fillId="0" borderId="49" xfId="0" applyNumberFormat="1" applyFont="1" applyBorder="1"/>
    <xf numFmtId="3" fontId="2" fillId="24" borderId="46" xfId="0" applyNumberFormat="1" applyFont="1" applyFill="1" applyBorder="1" applyAlignment="1" applyProtection="1">
      <alignment horizontal="right"/>
      <protection locked="0"/>
    </xf>
    <xf numFmtId="3" fontId="2" fillId="24" borderId="55" xfId="0" applyNumberFormat="1" applyFont="1" applyFill="1" applyBorder="1" applyAlignment="1" applyProtection="1">
      <alignment horizontal="right"/>
      <protection locked="0"/>
    </xf>
    <xf numFmtId="3" fontId="2" fillId="24" borderId="63" xfId="0" applyNumberFormat="1" applyFont="1" applyFill="1" applyBorder="1" applyAlignment="1" applyProtection="1">
      <alignment horizontal="right"/>
      <protection locked="0"/>
    </xf>
    <xf numFmtId="3" fontId="2" fillId="24" borderId="93" xfId="0" applyNumberFormat="1" applyFont="1" applyFill="1" applyBorder="1" applyAlignment="1" applyProtection="1">
      <alignment horizontal="right"/>
      <protection locked="0"/>
    </xf>
    <xf numFmtId="3" fontId="2" fillId="0" borderId="68" xfId="0" applyNumberFormat="1" applyFont="1" applyBorder="1"/>
    <xf numFmtId="3" fontId="2" fillId="0" borderId="67" xfId="0" applyNumberFormat="1" applyFont="1" applyBorder="1"/>
    <xf numFmtId="0" fontId="3" fillId="0" borderId="81" xfId="0" applyFont="1" applyBorder="1"/>
    <xf numFmtId="0" fontId="0" fillId="0" borderId="0" xfId="0" applyAlignment="1">
      <alignment horizontal="left" wrapText="1"/>
    </xf>
    <xf numFmtId="38" fontId="3" fillId="0" borderId="12" xfId="0" applyNumberFormat="1" applyFont="1" applyBorder="1" applyAlignment="1">
      <alignment horizontal="left" wrapText="1"/>
    </xf>
    <xf numFmtId="38" fontId="3" fillId="0" borderId="22" xfId="0" applyNumberFormat="1" applyFont="1" applyBorder="1" applyAlignment="1">
      <alignment horizontal="left" wrapText="1"/>
    </xf>
    <xf numFmtId="0" fontId="35" fillId="0" borderId="0" xfId="0" applyFont="1" applyAlignment="1">
      <alignment horizontal="left" wrapText="1"/>
    </xf>
    <xf numFmtId="38" fontId="2" fillId="0" borderId="0" xfId="0" applyNumberFormat="1" applyFont="1" applyAlignment="1" applyProtection="1">
      <alignment horizontal="left" vertical="top" wrapText="1"/>
      <protection locked="0"/>
    </xf>
    <xf numFmtId="38" fontId="3" fillId="0" borderId="10" xfId="0" applyNumberFormat="1" applyFont="1" applyBorder="1" applyAlignment="1">
      <alignment horizontal="left" wrapText="1"/>
    </xf>
    <xf numFmtId="3" fontId="3" fillId="0" borderId="27" xfId="0" applyNumberFormat="1" applyFont="1" applyBorder="1" applyAlignment="1">
      <alignment horizontal="left"/>
    </xf>
    <xf numFmtId="3" fontId="3" fillId="0" borderId="12" xfId="0" applyNumberFormat="1" applyFont="1" applyBorder="1" applyAlignment="1">
      <alignment horizontal="left" wrapText="1"/>
    </xf>
    <xf numFmtId="3" fontId="3" fillId="0" borderId="22" xfId="0" applyNumberFormat="1" applyFont="1" applyBorder="1" applyAlignment="1">
      <alignment horizontal="left" wrapText="1"/>
    </xf>
    <xf numFmtId="38" fontId="3" fillId="0" borderId="27" xfId="0" applyNumberFormat="1" applyFont="1" applyBorder="1" applyAlignment="1">
      <alignment horizontal="center"/>
    </xf>
    <xf numFmtId="38" fontId="3" fillId="0" borderId="0" xfId="0" applyNumberFormat="1" applyFont="1" applyAlignment="1">
      <alignment horizontal="center"/>
    </xf>
    <xf numFmtId="0" fontId="34" fillId="0" borderId="0" xfId="0" applyFont="1" applyAlignment="1">
      <alignment horizontal="left" vertical="top" wrapText="1"/>
    </xf>
    <xf numFmtId="0" fontId="3" fillId="0" borderId="0" xfId="0" applyFont="1" applyAlignment="1">
      <alignment horizontal="left" wrapText="1"/>
    </xf>
    <xf numFmtId="0" fontId="2" fillId="0" borderId="0" xfId="0" applyFont="1" applyAlignment="1">
      <alignment horizontal="left" wrapText="1"/>
    </xf>
    <xf numFmtId="3" fontId="0" fillId="24" borderId="0" xfId="0" applyNumberFormat="1" applyFill="1" applyAlignment="1" applyProtection="1">
      <alignment horizontal="right"/>
      <protection locked="0"/>
    </xf>
    <xf numFmtId="3" fontId="0" fillId="24" borderId="27" xfId="0" applyNumberFormat="1" applyFill="1" applyBorder="1" applyAlignment="1" applyProtection="1">
      <alignment horizontal="right"/>
      <protection locked="0"/>
    </xf>
    <xf numFmtId="0" fontId="3" fillId="0" borderId="0" xfId="0" applyFont="1" applyAlignment="1">
      <alignment horizontal="right" wrapText="1"/>
    </xf>
    <xf numFmtId="3" fontId="5" fillId="0" borderId="29" xfId="0" applyNumberFormat="1" applyFont="1" applyBorder="1" applyAlignment="1">
      <alignment horizontal="center"/>
    </xf>
    <xf numFmtId="3" fontId="5" fillId="0" borderId="93" xfId="0" applyNumberFormat="1" applyFont="1" applyBorder="1" applyAlignment="1">
      <alignment horizontal="center"/>
    </xf>
    <xf numFmtId="3" fontId="5" fillId="0" borderId="73" xfId="0" applyNumberFormat="1" applyFont="1" applyBorder="1" applyAlignment="1">
      <alignment horizontal="center"/>
    </xf>
    <xf numFmtId="3" fontId="0" fillId="0" borderId="83" xfId="0" applyNumberFormat="1" applyBorder="1" applyAlignment="1">
      <alignment horizontal="center" wrapText="1"/>
    </xf>
    <xf numFmtId="3" fontId="0" fillId="0" borderId="85" xfId="0" applyNumberFormat="1" applyBorder="1" applyAlignment="1">
      <alignment horizontal="center" wrapText="1"/>
    </xf>
    <xf numFmtId="3" fontId="2" fillId="0" borderId="60" xfId="0" applyNumberFormat="1" applyFont="1" applyBorder="1" applyAlignment="1">
      <alignment horizontal="center" wrapText="1"/>
    </xf>
    <xf numFmtId="3" fontId="2" fillId="0" borderId="56" xfId="0" applyNumberFormat="1" applyFont="1" applyBorder="1" applyAlignment="1">
      <alignment horizontal="center" wrapText="1"/>
    </xf>
    <xf numFmtId="3" fontId="2" fillId="24" borderId="82" xfId="0" applyNumberFormat="1" applyFont="1" applyFill="1" applyBorder="1" applyAlignment="1" applyProtection="1">
      <alignment horizontal="right"/>
      <protection locked="0"/>
    </xf>
    <xf numFmtId="3" fontId="2" fillId="24" borderId="85" xfId="0" applyNumberFormat="1" applyFont="1" applyFill="1" applyBorder="1" applyAlignment="1" applyProtection="1">
      <alignment horizontal="right"/>
      <protection locked="0"/>
    </xf>
    <xf numFmtId="3" fontId="2" fillId="0" borderId="83" xfId="0" applyNumberFormat="1" applyFont="1" applyBorder="1" applyAlignment="1">
      <alignment horizontal="center" wrapText="1"/>
    </xf>
    <xf numFmtId="3" fontId="0" fillId="0" borderId="15" xfId="0" applyNumberFormat="1" applyBorder="1" applyAlignment="1">
      <alignment horizontal="center" wrapText="1"/>
    </xf>
    <xf numFmtId="3" fontId="0" fillId="0" borderId="16" xfId="0" applyNumberFormat="1" applyBorder="1" applyAlignment="1">
      <alignment horizontal="center" wrapText="1"/>
    </xf>
    <xf numFmtId="3" fontId="2" fillId="0" borderId="21" xfId="0" applyNumberFormat="1" applyFont="1" applyBorder="1" applyAlignment="1">
      <alignment horizontal="center" wrapText="1"/>
    </xf>
    <xf numFmtId="3" fontId="0" fillId="0" borderId="21" xfId="0" applyNumberFormat="1" applyBorder="1" applyAlignment="1">
      <alignment horizontal="center" wrapText="1"/>
    </xf>
    <xf numFmtId="3" fontId="2" fillId="24" borderId="42" xfId="0" applyNumberFormat="1" applyFont="1" applyFill="1" applyBorder="1" applyAlignment="1" applyProtection="1">
      <alignment horizontal="right"/>
      <protection locked="0"/>
    </xf>
    <xf numFmtId="3" fontId="2" fillId="24" borderId="56" xfId="0" applyNumberFormat="1" applyFont="1" applyFill="1" applyBorder="1" applyAlignment="1" applyProtection="1">
      <alignment horizontal="right"/>
      <protection locked="0"/>
    </xf>
    <xf numFmtId="3" fontId="0" fillId="0" borderId="60" xfId="0" applyNumberFormat="1" applyBorder="1" applyAlignment="1">
      <alignment horizontal="center" wrapText="1"/>
    </xf>
    <xf numFmtId="3" fontId="0" fillId="0" borderId="56" xfId="0" applyNumberFormat="1" applyBorder="1" applyAlignment="1">
      <alignment horizontal="center" wrapText="1"/>
    </xf>
    <xf numFmtId="3" fontId="2" fillId="24" borderId="14" xfId="0" applyNumberFormat="1" applyFont="1" applyFill="1" applyBorder="1" applyAlignment="1" applyProtection="1">
      <alignment horizontal="right"/>
      <protection locked="0"/>
    </xf>
    <xf numFmtId="3" fontId="2" fillId="24" borderId="16" xfId="0" applyNumberFormat="1" applyFont="1" applyFill="1" applyBorder="1" applyAlignment="1" applyProtection="1">
      <alignment horizontal="right"/>
      <protection locked="0"/>
    </xf>
    <xf numFmtId="3" fontId="0" fillId="0" borderId="61" xfId="0" applyNumberFormat="1" applyBorder="1" applyAlignment="1">
      <alignment horizontal="center" wrapText="1"/>
    </xf>
    <xf numFmtId="3" fontId="0" fillId="0" borderId="24" xfId="0" applyNumberFormat="1" applyBorder="1" applyAlignment="1">
      <alignment horizontal="center" wrapText="1"/>
    </xf>
    <xf numFmtId="3" fontId="0" fillId="0" borderId="59" xfId="0" applyNumberFormat="1" applyBorder="1" applyAlignment="1">
      <alignment horizontal="center" wrapText="1"/>
    </xf>
    <xf numFmtId="3" fontId="0" fillId="0" borderId="40" xfId="0" applyNumberFormat="1" applyBorder="1" applyAlignment="1">
      <alignment horizontal="center" wrapText="1"/>
    </xf>
    <xf numFmtId="3" fontId="2" fillId="24" borderId="28" xfId="0" applyNumberFormat="1" applyFont="1" applyFill="1" applyBorder="1" applyAlignment="1" applyProtection="1">
      <alignment horizontal="right"/>
      <protection locked="0"/>
    </xf>
    <xf numFmtId="3" fontId="2" fillId="24" borderId="24" xfId="0" applyNumberFormat="1" applyFont="1" applyFill="1" applyBorder="1" applyAlignment="1" applyProtection="1">
      <alignment horizontal="right"/>
      <protection locked="0"/>
    </xf>
    <xf numFmtId="3" fontId="2" fillId="24" borderId="69" xfId="0" applyNumberFormat="1" applyFont="1" applyFill="1" applyBorder="1" applyAlignment="1" applyProtection="1">
      <alignment horizontal="right"/>
      <protection locked="0"/>
    </xf>
    <xf numFmtId="3" fontId="2" fillId="24" borderId="40" xfId="0" applyNumberFormat="1" applyFont="1" applyFill="1" applyBorder="1" applyAlignment="1" applyProtection="1">
      <alignment horizontal="right"/>
      <protection locked="0"/>
    </xf>
    <xf numFmtId="3" fontId="2" fillId="22" borderId="62" xfId="0" applyNumberFormat="1" applyFont="1" applyFill="1" applyBorder="1" applyAlignment="1">
      <alignment horizontal="center"/>
    </xf>
    <xf numFmtId="3" fontId="2" fillId="22" borderId="50" xfId="0" applyNumberFormat="1" applyFont="1" applyFill="1" applyBorder="1" applyAlignment="1">
      <alignment horizontal="center"/>
    </xf>
    <xf numFmtId="3" fontId="2" fillId="22" borderId="69" xfId="0" applyNumberFormat="1" applyFont="1" applyFill="1" applyBorder="1" applyAlignment="1">
      <alignment horizontal="right"/>
    </xf>
    <xf numFmtId="3" fontId="2" fillId="22" borderId="40" xfId="0" applyNumberFormat="1" applyFont="1" applyFill="1" applyBorder="1" applyAlignment="1">
      <alignment horizontal="right"/>
    </xf>
    <xf numFmtId="3" fontId="2" fillId="22" borderId="59" xfId="0" applyNumberFormat="1" applyFont="1" applyFill="1" applyBorder="1" applyAlignment="1">
      <alignment horizontal="center"/>
    </xf>
    <xf numFmtId="3" fontId="2" fillId="22" borderId="40" xfId="0" applyNumberFormat="1" applyFont="1" applyFill="1" applyBorder="1" applyAlignment="1">
      <alignment horizontal="center"/>
    </xf>
    <xf numFmtId="3" fontId="2" fillId="22" borderId="28" xfId="0" applyNumberFormat="1" applyFont="1" applyFill="1" applyBorder="1" applyAlignment="1">
      <alignment horizontal="right"/>
    </xf>
    <xf numFmtId="3" fontId="2" fillId="22" borderId="24" xfId="0" applyNumberFormat="1" applyFont="1" applyFill="1" applyBorder="1" applyAlignment="1">
      <alignment horizontal="right"/>
    </xf>
    <xf numFmtId="3" fontId="2" fillId="22" borderId="61" xfId="0" applyNumberFormat="1" applyFont="1" applyFill="1" applyBorder="1" applyAlignment="1">
      <alignment horizontal="center"/>
    </xf>
    <xf numFmtId="3" fontId="2" fillId="22" borderId="24" xfId="0" applyNumberFormat="1" applyFont="1" applyFill="1" applyBorder="1" applyAlignment="1">
      <alignment horizontal="center"/>
    </xf>
    <xf numFmtId="3" fontId="2" fillId="22" borderId="54" xfId="0" applyNumberFormat="1" applyFont="1" applyFill="1" applyBorder="1" applyAlignment="1">
      <alignment horizontal="right"/>
    </xf>
    <xf numFmtId="3" fontId="2" fillId="22" borderId="50" xfId="0" applyNumberFormat="1" applyFont="1" applyFill="1" applyBorder="1" applyAlignment="1">
      <alignment horizontal="right"/>
    </xf>
    <xf numFmtId="0" fontId="3" fillId="0" borderId="81" xfId="0" applyFont="1" applyBorder="1" applyAlignment="1">
      <alignment horizontal="left" wrapText="1"/>
    </xf>
    <xf numFmtId="3" fontId="2" fillId="0" borderId="15" xfId="0" applyNumberFormat="1" applyFont="1" applyBorder="1" applyAlignment="1">
      <alignment horizontal="center" wrapText="1"/>
    </xf>
    <xf numFmtId="3" fontId="2" fillId="24" borderId="11" xfId="0" applyNumberFormat="1" applyFont="1" applyFill="1" applyBorder="1" applyAlignment="1" applyProtection="1">
      <alignment horizontal="right"/>
      <protection locked="0"/>
    </xf>
    <xf numFmtId="3" fontId="2" fillId="24" borderId="18" xfId="0" applyNumberFormat="1" applyFont="1" applyFill="1" applyBorder="1" applyAlignment="1" applyProtection="1">
      <alignment horizontal="right"/>
      <protection locked="0"/>
    </xf>
    <xf numFmtId="3" fontId="0" fillId="0" borderId="17" xfId="0" applyNumberFormat="1" applyBorder="1" applyAlignment="1">
      <alignment horizontal="center" wrapText="1"/>
    </xf>
    <xf numFmtId="3" fontId="0" fillId="0" borderId="18" xfId="0" applyNumberFormat="1" applyBorder="1" applyAlignment="1">
      <alignment horizontal="center" wrapText="1"/>
    </xf>
    <xf numFmtId="3" fontId="2" fillId="24" borderId="59" xfId="0" applyNumberFormat="1" applyFont="1" applyFill="1" applyBorder="1" applyAlignment="1" applyProtection="1">
      <alignment horizontal="center"/>
      <protection locked="0"/>
    </xf>
    <xf numFmtId="3" fontId="2" fillId="24" borderId="40" xfId="0" applyNumberFormat="1" applyFont="1" applyFill="1" applyBorder="1" applyAlignment="1" applyProtection="1">
      <alignment horizontal="center"/>
      <protection locked="0"/>
    </xf>
    <xf numFmtId="0" fontId="0" fillId="0" borderId="55" xfId="0" applyBorder="1" applyAlignment="1">
      <alignment horizontal="center"/>
    </xf>
    <xf numFmtId="0" fontId="0" fillId="0" borderId="73" xfId="0" applyBorder="1" applyAlignment="1">
      <alignment horizontal="center"/>
    </xf>
    <xf numFmtId="0" fontId="2" fillId="0" borderId="18" xfId="0" applyFont="1" applyBorder="1" applyAlignment="1">
      <alignment horizontal="left"/>
    </xf>
    <xf numFmtId="0" fontId="2" fillId="0" borderId="72" xfId="0" applyFont="1" applyBorder="1" applyAlignment="1">
      <alignment horizontal="left"/>
    </xf>
    <xf numFmtId="0" fontId="2" fillId="0" borderId="12" xfId="0" applyFont="1" applyBorder="1" applyAlignment="1">
      <alignment horizontal="left"/>
    </xf>
    <xf numFmtId="0" fontId="2" fillId="0" borderId="52" xfId="0" applyFont="1" applyBorder="1" applyAlignment="1">
      <alignment horizontal="left"/>
    </xf>
    <xf numFmtId="0" fontId="2" fillId="0" borderId="17" xfId="0" applyFont="1" applyBorder="1" applyAlignment="1">
      <alignment horizontal="left" wrapText="1"/>
    </xf>
    <xf numFmtId="0" fontId="2" fillId="0" borderId="89" xfId="0" applyFont="1" applyBorder="1" applyAlignment="1">
      <alignment horizontal="left" wrapText="1"/>
    </xf>
    <xf numFmtId="0" fontId="2" fillId="0" borderId="18" xfId="0" applyFont="1" applyBorder="1" applyAlignment="1">
      <alignment horizontal="left" wrapText="1"/>
    </xf>
    <xf numFmtId="0" fontId="2" fillId="0" borderId="72" xfId="0" applyFont="1" applyBorder="1" applyAlignment="1">
      <alignment horizontal="left" wrapText="1"/>
    </xf>
    <xf numFmtId="0" fontId="2" fillId="0" borderId="43" xfId="0" applyFont="1" applyBorder="1" applyAlignment="1">
      <alignment horizontal="left"/>
    </xf>
    <xf numFmtId="0" fontId="2" fillId="0" borderId="53" xfId="0" applyFont="1" applyBorder="1" applyAlignment="1">
      <alignment horizontal="left"/>
    </xf>
    <xf numFmtId="0" fontId="5" fillId="0" borderId="27" xfId="0" applyFont="1" applyBorder="1" applyAlignment="1">
      <alignment horizontal="left"/>
    </xf>
    <xf numFmtId="0" fontId="5" fillId="0" borderId="72" xfId="0" applyFont="1" applyBorder="1" applyAlignment="1">
      <alignment horizontal="left"/>
    </xf>
    <xf numFmtId="3" fontId="2" fillId="24" borderId="15" xfId="0" applyNumberFormat="1" applyFont="1" applyFill="1" applyBorder="1" applyAlignment="1" applyProtection="1">
      <alignment horizontal="center"/>
      <protection locked="0"/>
    </xf>
    <xf numFmtId="3" fontId="2" fillId="24" borderId="16" xfId="0" applyNumberFormat="1" applyFont="1" applyFill="1" applyBorder="1" applyAlignment="1" applyProtection="1">
      <alignment horizontal="center"/>
      <protection locked="0"/>
    </xf>
    <xf numFmtId="0" fontId="3" fillId="0" borderId="12" xfId="0" applyFont="1" applyBorder="1" applyAlignment="1">
      <alignment horizontal="left" wrapText="1"/>
    </xf>
    <xf numFmtId="0" fontId="3" fillId="0" borderId="52" xfId="0" applyFont="1" applyBorder="1" applyAlignment="1">
      <alignment horizontal="left" wrapText="1"/>
    </xf>
    <xf numFmtId="0" fontId="3" fillId="0" borderId="29" xfId="0" applyFont="1" applyBorder="1" applyAlignment="1">
      <alignment horizontal="left"/>
    </xf>
    <xf numFmtId="0" fontId="3" fillId="0" borderId="73" xfId="0" applyFont="1" applyBorder="1" applyAlignment="1">
      <alignment horizontal="left"/>
    </xf>
    <xf numFmtId="0" fontId="3" fillId="0" borderId="18" xfId="0" applyFont="1" applyBorder="1" applyAlignment="1">
      <alignment horizontal="left"/>
    </xf>
    <xf numFmtId="0" fontId="3" fillId="0" borderId="72" xfId="0" applyFont="1" applyBorder="1" applyAlignment="1">
      <alignment horizontal="left"/>
    </xf>
    <xf numFmtId="0" fontId="3" fillId="0" borderId="17" xfId="0" applyFont="1" applyBorder="1" applyAlignment="1">
      <alignment horizontal="left"/>
    </xf>
    <xf numFmtId="0" fontId="3" fillId="0" borderId="89" xfId="0" applyFont="1" applyBorder="1" applyAlignment="1">
      <alignment horizontal="left"/>
    </xf>
    <xf numFmtId="3" fontId="2" fillId="24" borderId="60" xfId="0" applyNumberFormat="1" applyFont="1" applyFill="1" applyBorder="1" applyAlignment="1" applyProtection="1">
      <alignment horizontal="center"/>
      <protection locked="0"/>
    </xf>
    <xf numFmtId="3" fontId="2" fillId="24" borderId="56" xfId="0" applyNumberFormat="1" applyFont="1" applyFill="1" applyBorder="1" applyAlignment="1" applyProtection="1">
      <alignment horizontal="center"/>
      <protection locked="0"/>
    </xf>
    <xf numFmtId="3" fontId="2" fillId="24" borderId="10" xfId="0" applyNumberFormat="1" applyFont="1" applyFill="1" applyBorder="1" applyAlignment="1" applyProtection="1">
      <alignment horizontal="center"/>
      <protection locked="0"/>
    </xf>
    <xf numFmtId="0" fontId="3" fillId="0" borderId="60" xfId="0" applyFont="1" applyBorder="1" applyAlignment="1">
      <alignment horizontal="left"/>
    </xf>
    <xf numFmtId="0" fontId="3" fillId="0" borderId="59" xfId="0" applyFont="1" applyBorder="1" applyAlignment="1">
      <alignment horizontal="left"/>
    </xf>
    <xf numFmtId="3" fontId="2" fillId="24" borderId="89" xfId="0" applyNumberFormat="1" applyFont="1" applyFill="1" applyBorder="1" applyAlignment="1" applyProtection="1">
      <alignment horizontal="center"/>
      <protection locked="0"/>
    </xf>
    <xf numFmtId="3" fontId="2" fillId="24" borderId="72" xfId="0" applyNumberFormat="1" applyFont="1" applyFill="1" applyBorder="1" applyAlignment="1" applyProtection="1">
      <alignment horizontal="center"/>
      <protection locked="0"/>
    </xf>
    <xf numFmtId="3" fontId="2" fillId="0" borderId="22" xfId="0" applyNumberFormat="1" applyFont="1" applyBorder="1" applyAlignment="1">
      <alignment horizontal="center" wrapText="1"/>
    </xf>
    <xf numFmtId="3" fontId="0" fillId="0" borderId="22" xfId="0" applyNumberFormat="1" applyBorder="1" applyAlignment="1">
      <alignment horizontal="center" wrapText="1"/>
    </xf>
    <xf numFmtId="3" fontId="2" fillId="0" borderId="10" xfId="0" applyNumberFormat="1" applyFont="1" applyBorder="1" applyAlignment="1">
      <alignment horizontal="center" wrapText="1"/>
    </xf>
    <xf numFmtId="3" fontId="0" fillId="0" borderId="10" xfId="0" applyNumberFormat="1" applyBorder="1" applyAlignment="1">
      <alignment horizontal="center" wrapText="1"/>
    </xf>
    <xf numFmtId="3" fontId="2" fillId="24" borderId="15" xfId="0" applyNumberFormat="1" applyFont="1" applyFill="1" applyBorder="1" applyAlignment="1" applyProtection="1">
      <alignment horizontal="right"/>
      <protection locked="0"/>
    </xf>
    <xf numFmtId="3" fontId="2" fillId="24" borderId="78" xfId="0" applyNumberFormat="1" applyFont="1" applyFill="1" applyBorder="1" applyAlignment="1" applyProtection="1">
      <alignment horizontal="right"/>
      <protection locked="0"/>
    </xf>
    <xf numFmtId="3" fontId="2" fillId="24" borderId="74" xfId="0" applyNumberFormat="1" applyFont="1" applyFill="1" applyBorder="1" applyAlignment="1" applyProtection="1">
      <alignment horizontal="right"/>
      <protection locked="0"/>
    </xf>
    <xf numFmtId="3" fontId="2" fillId="24" borderId="96" xfId="0" applyNumberFormat="1" applyFont="1" applyFill="1" applyBorder="1" applyAlignment="1" applyProtection="1">
      <alignment horizontal="right"/>
      <protection locked="0"/>
    </xf>
    <xf numFmtId="3" fontId="5" fillId="0" borderId="49" xfId="0" applyNumberFormat="1" applyFont="1" applyBorder="1" applyAlignment="1">
      <alignment horizontal="center" vertical="center"/>
    </xf>
    <xf numFmtId="0" fontId="3" fillId="0" borderId="26" xfId="0" applyFont="1" applyBorder="1" applyAlignment="1">
      <alignment horizontal="left" wrapText="1"/>
    </xf>
    <xf numFmtId="0" fontId="3" fillId="0" borderId="15" xfId="0" applyFont="1" applyBorder="1" applyAlignment="1">
      <alignment horizontal="left"/>
    </xf>
    <xf numFmtId="0" fontId="3" fillId="0" borderId="66" xfId="0" applyFont="1" applyBorder="1" applyAlignment="1">
      <alignment horizontal="left"/>
    </xf>
    <xf numFmtId="0" fontId="3" fillId="0" borderId="25" xfId="0" applyFont="1" applyBorder="1" applyAlignment="1">
      <alignment horizontal="left"/>
    </xf>
    <xf numFmtId="0" fontId="3" fillId="0" borderId="93" xfId="0" applyFont="1" applyBorder="1" applyAlignment="1">
      <alignment horizontal="left"/>
    </xf>
    <xf numFmtId="3" fontId="2" fillId="24" borderId="76" xfId="0" applyNumberFormat="1" applyFont="1" applyFill="1" applyBorder="1" applyAlignment="1" applyProtection="1">
      <alignment horizontal="right"/>
      <protection locked="0"/>
    </xf>
    <xf numFmtId="3" fontId="2" fillId="24" borderId="33" xfId="0" applyNumberFormat="1" applyFont="1" applyFill="1" applyBorder="1" applyAlignment="1" applyProtection="1">
      <alignment horizontal="right"/>
      <protection locked="0"/>
    </xf>
    <xf numFmtId="3" fontId="2" fillId="24" borderId="34" xfId="0" applyNumberFormat="1" applyFont="1" applyFill="1" applyBorder="1" applyAlignment="1" applyProtection="1">
      <alignment horizontal="right"/>
      <protection locked="0"/>
    </xf>
    <xf numFmtId="3" fontId="2" fillId="24" borderId="71" xfId="0" applyNumberFormat="1" applyFont="1" applyFill="1" applyBorder="1" applyAlignment="1" applyProtection="1">
      <alignment horizontal="right"/>
      <protection locked="0"/>
    </xf>
    <xf numFmtId="0" fontId="0" fillId="0" borderId="81" xfId="0" applyBorder="1" applyAlignment="1">
      <alignment horizontal="center"/>
    </xf>
    <xf numFmtId="0" fontId="2" fillId="0" borderId="12" xfId="0" applyFont="1" applyBorder="1" applyAlignment="1">
      <alignment horizontal="left" wrapText="1"/>
    </xf>
    <xf numFmtId="0" fontId="2" fillId="0" borderId="52" xfId="0" applyFont="1" applyBorder="1" applyAlignment="1">
      <alignment horizontal="left" wrapText="1"/>
    </xf>
    <xf numFmtId="3" fontId="2" fillId="24" borderId="81" xfId="0" applyNumberFormat="1" applyFont="1" applyFill="1" applyBorder="1" applyAlignment="1" applyProtection="1">
      <alignment horizontal="right"/>
      <protection locked="0"/>
    </xf>
    <xf numFmtId="3" fontId="2" fillId="24" borderId="27" xfId="0" applyNumberFormat="1" applyFont="1" applyFill="1" applyBorder="1" applyAlignment="1" applyProtection="1">
      <alignment horizontal="right"/>
      <protection locked="0"/>
    </xf>
    <xf numFmtId="0" fontId="2" fillId="0" borderId="27" xfId="0" applyFont="1" applyBorder="1" applyAlignment="1">
      <alignment horizontal="left"/>
    </xf>
    <xf numFmtId="3" fontId="0" fillId="0" borderId="0" xfId="0" applyNumberFormat="1" applyAlignment="1">
      <alignment horizontal="left"/>
    </xf>
    <xf numFmtId="0" fontId="3" fillId="0" borderId="0" xfId="0" applyFont="1" applyAlignment="1">
      <alignment horizontal="left"/>
    </xf>
    <xf numFmtId="3" fontId="5" fillId="0" borderId="29" xfId="0" applyNumberFormat="1" applyFont="1" applyBorder="1" applyAlignment="1">
      <alignment horizontal="center" vertical="center"/>
    </xf>
    <xf numFmtId="3" fontId="5" fillId="0" borderId="93" xfId="0" applyNumberFormat="1" applyFont="1" applyBorder="1" applyAlignment="1">
      <alignment horizontal="center" vertical="center"/>
    </xf>
    <xf numFmtId="3" fontId="5" fillId="0" borderId="73" xfId="0" applyNumberFormat="1" applyFont="1" applyBorder="1" applyAlignment="1">
      <alignment horizontal="center" vertical="center"/>
    </xf>
    <xf numFmtId="3" fontId="2" fillId="24" borderId="70" xfId="0" applyNumberFormat="1" applyFont="1" applyFill="1" applyBorder="1" applyAlignment="1" applyProtection="1">
      <alignment horizontal="right"/>
      <protection locked="0"/>
    </xf>
    <xf numFmtId="3" fontId="2" fillId="24" borderId="41" xfId="0" applyNumberFormat="1" applyFont="1" applyFill="1" applyBorder="1" applyAlignment="1" applyProtection="1">
      <alignment horizontal="right"/>
      <protection locked="0"/>
    </xf>
    <xf numFmtId="3" fontId="5" fillId="0" borderId="79" xfId="0" applyNumberFormat="1" applyFont="1" applyBorder="1" applyAlignment="1">
      <alignment horizontal="center" wrapText="1"/>
    </xf>
    <xf numFmtId="3" fontId="5" fillId="0" borderId="50" xfId="0" applyNumberFormat="1" applyFont="1" applyBorder="1" applyAlignment="1">
      <alignment horizontal="center" wrapText="1"/>
    </xf>
    <xf numFmtId="3" fontId="2" fillId="22" borderId="102" xfId="0" applyNumberFormat="1" applyFont="1" applyFill="1" applyBorder="1" applyAlignment="1">
      <alignment horizontal="right"/>
    </xf>
    <xf numFmtId="3" fontId="2" fillId="22" borderId="99" xfId="0" applyNumberFormat="1" applyFont="1" applyFill="1" applyBorder="1" applyAlignment="1">
      <alignment horizontal="right"/>
    </xf>
    <xf numFmtId="0" fontId="5" fillId="0" borderId="33" xfId="0" applyFont="1" applyBorder="1" applyAlignment="1">
      <alignment horizontal="center" wrapText="1"/>
    </xf>
    <xf numFmtId="0" fontId="5" fillId="0" borderId="34" xfId="0" applyFont="1" applyBorder="1" applyAlignment="1">
      <alignment horizontal="center" wrapText="1"/>
    </xf>
    <xf numFmtId="3" fontId="5" fillId="0" borderId="71" xfId="0" applyNumberFormat="1" applyFont="1" applyBorder="1" applyAlignment="1">
      <alignment horizontal="center" wrapText="1"/>
    </xf>
    <xf numFmtId="3" fontId="5" fillId="0" borderId="67" xfId="0" applyNumberFormat="1" applyFont="1" applyBorder="1" applyAlignment="1">
      <alignment horizontal="center" wrapText="1"/>
    </xf>
    <xf numFmtId="3" fontId="2" fillId="24" borderId="69" xfId="0" applyNumberFormat="1" applyFont="1" applyFill="1" applyBorder="1" applyAlignment="1" applyProtection="1">
      <alignment horizontal="center"/>
      <protection locked="0"/>
    </xf>
    <xf numFmtId="3" fontId="2" fillId="24" borderId="10" xfId="0" applyNumberFormat="1" applyFont="1" applyFill="1" applyBorder="1" applyAlignment="1" applyProtection="1">
      <alignment horizontal="right"/>
      <protection locked="0"/>
    </xf>
    <xf numFmtId="3" fontId="2" fillId="24" borderId="77" xfId="0" applyNumberFormat="1" applyFont="1" applyFill="1" applyBorder="1" applyAlignment="1" applyProtection="1">
      <alignment horizontal="right"/>
      <protection locked="0"/>
    </xf>
    <xf numFmtId="3" fontId="2" fillId="24" borderId="75" xfId="0" applyNumberFormat="1" applyFont="1" applyFill="1" applyBorder="1" applyAlignment="1" applyProtection="1">
      <alignment horizontal="right"/>
      <protection locked="0"/>
    </xf>
    <xf numFmtId="3" fontId="2" fillId="24" borderId="36" xfId="0" applyNumberFormat="1" applyFont="1" applyFill="1" applyBorder="1" applyAlignment="1" applyProtection="1">
      <alignment horizontal="right"/>
      <protection locked="0"/>
    </xf>
    <xf numFmtId="3" fontId="2" fillId="24" borderId="76" xfId="0" applyNumberFormat="1" applyFont="1" applyFill="1" applyBorder="1" applyAlignment="1" applyProtection="1">
      <alignment horizontal="center"/>
      <protection locked="0"/>
    </xf>
    <xf numFmtId="0" fontId="3" fillId="0" borderId="27" xfId="0" applyFont="1" applyBorder="1" applyAlignment="1">
      <alignment horizontal="left"/>
    </xf>
    <xf numFmtId="0" fontId="3" fillId="0" borderId="32" xfId="0" applyFont="1" applyBorder="1" applyAlignment="1">
      <alignment horizontal="left"/>
    </xf>
    <xf numFmtId="0" fontId="3" fillId="0" borderId="35" xfId="0" applyFont="1" applyBorder="1" applyAlignment="1">
      <alignment horizontal="left"/>
    </xf>
    <xf numFmtId="0" fontId="2" fillId="0" borderId="0" xfId="0" applyFont="1" applyAlignment="1">
      <alignment horizontal="center"/>
    </xf>
    <xf numFmtId="0" fontId="2" fillId="0" borderId="70" xfId="0" applyFont="1" applyBorder="1" applyAlignment="1">
      <alignment horizontal="center"/>
    </xf>
    <xf numFmtId="0" fontId="2" fillId="0" borderId="79" xfId="0" applyFont="1" applyBorder="1" applyAlignment="1">
      <alignment horizontal="center"/>
    </xf>
    <xf numFmtId="0" fontId="2" fillId="0" borderId="23"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80" xfId="0" applyFont="1" applyBorder="1" applyAlignment="1">
      <alignment horizontal="center"/>
    </xf>
    <xf numFmtId="0" fontId="3" fillId="0" borderId="29" xfId="0" applyFont="1" applyBorder="1" applyAlignment="1">
      <alignment horizontal="center" wrapText="1"/>
    </xf>
    <xf numFmtId="0" fontId="3" fillId="0" borderId="93" xfId="0" applyFont="1" applyBorder="1" applyAlignment="1">
      <alignment horizontal="center" wrapText="1"/>
    </xf>
    <xf numFmtId="0" fontId="3" fillId="0" borderId="73" xfId="0" applyFont="1" applyBorder="1" applyAlignment="1">
      <alignment horizontal="center" wrapText="1"/>
    </xf>
    <xf numFmtId="0" fontId="3" fillId="0" borderId="71" xfId="0" applyFont="1" applyBorder="1" applyAlignment="1">
      <alignment horizontal="center" wrapText="1"/>
    </xf>
    <xf numFmtId="0" fontId="3" fillId="0" borderId="67" xfId="0" applyFont="1" applyBorder="1" applyAlignment="1">
      <alignment horizontal="center" wrapText="1"/>
    </xf>
    <xf numFmtId="0" fontId="2" fillId="0" borderId="0" xfId="0" applyFont="1" applyAlignment="1">
      <alignment horizontal="left"/>
    </xf>
    <xf numFmtId="0" fontId="2" fillId="0" borderId="0" xfId="0" applyFont="1" applyAlignment="1">
      <alignment horizontal="right"/>
    </xf>
    <xf numFmtId="0" fontId="2" fillId="0" borderId="13" xfId="0" applyFont="1" applyBorder="1" applyAlignment="1">
      <alignment horizontal="left" wrapText="1"/>
    </xf>
    <xf numFmtId="0" fontId="3" fillId="0" borderId="32" xfId="0" applyFont="1" applyBorder="1" applyAlignment="1">
      <alignment horizontal="left" wrapText="1"/>
    </xf>
    <xf numFmtId="0" fontId="3" fillId="0" borderId="35" xfId="0" applyFont="1" applyBorder="1" applyAlignment="1">
      <alignment horizontal="left" wrapText="1"/>
    </xf>
    <xf numFmtId="0" fontId="2" fillId="0" borderId="13" xfId="0" applyFont="1" applyBorder="1" applyAlignment="1">
      <alignment horizontal="left"/>
    </xf>
    <xf numFmtId="0" fontId="2" fillId="0" borderId="44" xfId="0" applyFont="1" applyBorder="1" applyAlignment="1">
      <alignment horizontal="left"/>
    </xf>
    <xf numFmtId="0" fontId="5" fillId="0" borderId="0" xfId="44" applyFont="1" applyAlignment="1">
      <alignment horizontal="center"/>
    </xf>
    <xf numFmtId="37" fontId="3" fillId="0" borderId="0" xfId="44" quotePrefix="1" applyNumberFormat="1" applyFont="1" applyAlignment="1" applyProtection="1">
      <alignment horizontal="center"/>
      <protection locked="0"/>
    </xf>
    <xf numFmtId="0" fontId="2" fillId="0" borderId="88" xfId="45" quotePrefix="1" applyBorder="1" applyAlignment="1">
      <alignment horizontal="left"/>
    </xf>
    <xf numFmtId="0" fontId="2" fillId="0" borderId="0" xfId="45" quotePrefix="1" applyAlignment="1">
      <alignment horizontal="left"/>
    </xf>
    <xf numFmtId="0" fontId="2" fillId="0" borderId="0" xfId="46" quotePrefix="1" applyAlignment="1">
      <alignment horizontal="left"/>
    </xf>
    <xf numFmtId="0" fontId="5" fillId="0" borderId="0" xfId="46" applyFont="1" applyAlignment="1">
      <alignment horizontal="center"/>
    </xf>
    <xf numFmtId="0" fontId="3" fillId="0" borderId="0" xfId="46" applyFont="1" applyAlignment="1">
      <alignment horizontal="center" wrapText="1"/>
    </xf>
    <xf numFmtId="0" fontId="3" fillId="0" borderId="86" xfId="46" applyFont="1" applyBorder="1" applyAlignment="1">
      <alignment horizontal="center" wrapText="1"/>
    </xf>
    <xf numFmtId="3" fontId="3" fillId="0" borderId="0" xfId="46" applyNumberFormat="1" applyFont="1" applyAlignment="1">
      <alignment horizontal="right"/>
    </xf>
    <xf numFmtId="3" fontId="3" fillId="0" borderId="86" xfId="46" applyNumberFormat="1" applyFont="1" applyBorder="1" applyAlignment="1">
      <alignment horizontal="right"/>
    </xf>
    <xf numFmtId="3" fontId="3" fillId="0" borderId="0" xfId="46" applyNumberFormat="1" applyFont="1" applyAlignment="1">
      <alignment horizontal="right" wrapText="1"/>
    </xf>
    <xf numFmtId="3" fontId="3" fillId="0" borderId="86" xfId="46" applyNumberFormat="1" applyFont="1" applyBorder="1" applyAlignment="1">
      <alignment horizontal="right" wrapText="1"/>
    </xf>
    <xf numFmtId="0" fontId="0" fillId="0" borderId="86" xfId="0" applyBorder="1" applyAlignment="1">
      <alignment wrapText="1"/>
    </xf>
    <xf numFmtId="0" fontId="3" fillId="0" borderId="0" xfId="46" applyFont="1" applyAlignment="1">
      <alignment horizontal="center"/>
    </xf>
    <xf numFmtId="0" fontId="3" fillId="0" borderId="86" xfId="46" applyFont="1" applyBorder="1" applyAlignment="1">
      <alignment horizontal="center"/>
    </xf>
    <xf numFmtId="0" fontId="5" fillId="0" borderId="0" xfId="0" applyFont="1" applyAlignment="1">
      <alignment horizontal="center"/>
    </xf>
    <xf numFmtId="3" fontId="5" fillId="0" borderId="0" xfId="0" applyNumberFormat="1" applyFont="1" applyAlignment="1">
      <alignment horizontal="center"/>
    </xf>
    <xf numFmtId="3" fontId="3" fillId="0" borderId="0" xfId="45" applyNumberFormat="1" applyFont="1" applyAlignment="1">
      <alignment horizontal="center" vertical="center"/>
    </xf>
    <xf numFmtId="0" fontId="28" fillId="0" borderId="0" xfId="45" applyFont="1" applyAlignment="1">
      <alignment horizontal="left" wrapText="1"/>
    </xf>
    <xf numFmtId="0" fontId="26" fillId="0" borderId="0" xfId="45" applyFont="1" applyAlignment="1">
      <alignment horizontal="left" wrapText="1"/>
    </xf>
    <xf numFmtId="49" fontId="5" fillId="0" borderId="0" xfId="44" applyNumberFormat="1" applyFont="1" applyAlignment="1">
      <alignment horizontal="center"/>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2" builtinId="3"/>
    <cellStyle name="Comma 2" xfId="48"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4" xr:uid="{00000000-0005-0000-0000-000027000000}"/>
    <cellStyle name="Normal 3" xfId="45" xr:uid="{00000000-0005-0000-0000-000028000000}"/>
    <cellStyle name="Normal 4" xfId="47" xr:uid="{00000000-0005-0000-0000-000029000000}"/>
    <cellStyle name="normal_FY 2002 Funding Allocations_1" xfId="46" xr:uid="{00000000-0005-0000-0000-00002A000000}"/>
    <cellStyle name="Normal_LTC Beds Per PSA" xfId="49" xr:uid="{00000000-0005-0000-0000-00002B000000}"/>
    <cellStyle name="Note" xfId="37" builtinId="10" customBuiltin="1"/>
    <cellStyle name="Output" xfId="38" builtinId="21" customBuiltin="1"/>
    <cellStyle name="Percent" xfId="43" builtinId="5"/>
    <cellStyle name="Title" xfId="39" builtinId="15" customBuiltin="1"/>
    <cellStyle name="Total" xfId="40" builtinId="25" customBuiltin="1"/>
    <cellStyle name="Warning Text" xfId="41" builtinId="11" customBuiltin="1"/>
  </cellStyles>
  <dxfs count="47">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patternType="none">
          <bgColor auto="1"/>
        </patternFill>
      </fill>
    </dxf>
    <dxf>
      <fill>
        <patternFill>
          <bgColor indexed="4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CCFFFF"/>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K83"/>
  <sheetViews>
    <sheetView showGridLines="0" showZeros="0" tabSelected="1" zoomScale="90" zoomScaleNormal="90" zoomScalePageLayoutView="86" workbookViewId="0">
      <selection activeCell="E9" sqref="E9"/>
    </sheetView>
  </sheetViews>
  <sheetFormatPr defaultRowHeight="12.75" x14ac:dyDescent="0.2"/>
  <cols>
    <col min="1" max="1" width="10.42578125" style="9" customWidth="1"/>
    <col min="2" max="2" width="19.85546875" style="9" customWidth="1"/>
    <col min="3" max="8" width="18.28515625" style="9" customWidth="1"/>
    <col min="9" max="10" width="18.28515625" customWidth="1"/>
    <col min="11" max="11" width="7.85546875" customWidth="1"/>
  </cols>
  <sheetData>
    <row r="1" spans="1:10" s="6" customFormat="1" ht="22.5" customHeight="1" x14ac:dyDescent="0.2">
      <c r="A1" s="47" t="s">
        <v>0</v>
      </c>
      <c r="B1" s="487" t="str">
        <f>IF($H1=1,C58,IF($H1=2,C59,IF($H1=3,C60,IF($H1=4,C61,IF($H1=5,C62,IF($H1=6,C63,IF($H1=7,C64,IF($H1="8A",C65,IF($H1="8B",C66,IF($H1="8C",C67,IF($H1="8D",C68,IF($H1="8E",C69,IF($H1=9,C70,IF($H1=10,C71,IF($H1=11,C72,IF($H1=12,C73,IF($H1=13,C74,IF($H1=14,C75,IF($H1=15,C76,IF($H1=16,C77,IF($H1="17/18",C78,IF($H1=19,C79,IF($H1=20,C80,IF($H1=21,C81,IF($H1=22,C82,"0")))))))))))))))))))))))))</f>
        <v>Piedmont Senior Resources Area Agency on Aging, Inc.</v>
      </c>
      <c r="C1" s="487"/>
      <c r="D1" s="487"/>
      <c r="E1" s="487"/>
      <c r="G1" s="15" t="s">
        <v>1</v>
      </c>
      <c r="H1" s="21">
        <v>14</v>
      </c>
    </row>
    <row r="2" spans="1:10" ht="12.75" customHeight="1" x14ac:dyDescent="0.2">
      <c r="A2" s="47"/>
      <c r="B2" s="47"/>
      <c r="C2" s="47"/>
      <c r="D2" s="15"/>
    </row>
    <row r="3" spans="1:10" ht="26.85" customHeight="1" x14ac:dyDescent="0.2">
      <c r="A3" s="488" t="s">
        <v>2</v>
      </c>
      <c r="B3" s="489"/>
      <c r="C3" s="48" t="s">
        <v>3</v>
      </c>
      <c r="D3" s="48" t="s">
        <v>4</v>
      </c>
      <c r="E3" s="48" t="s">
        <v>5</v>
      </c>
      <c r="F3" s="48" t="s">
        <v>6</v>
      </c>
      <c r="G3" s="48" t="s">
        <v>7</v>
      </c>
      <c r="H3" s="48" t="s">
        <v>8</v>
      </c>
      <c r="I3" s="48" t="s">
        <v>9</v>
      </c>
      <c r="J3" s="7" t="s">
        <v>10</v>
      </c>
    </row>
    <row r="4" spans="1:10" ht="26.85" customHeight="1" x14ac:dyDescent="0.2">
      <c r="A4" s="482" t="s">
        <v>11</v>
      </c>
      <c r="B4" s="483"/>
      <c r="C4" s="378">
        <v>10000</v>
      </c>
      <c r="D4" s="378">
        <v>100000</v>
      </c>
      <c r="E4" s="378">
        <v>80000</v>
      </c>
      <c r="F4" s="378">
        <v>16000</v>
      </c>
      <c r="G4" s="378">
        <v>45000</v>
      </c>
      <c r="H4" s="378"/>
      <c r="I4" s="378"/>
      <c r="J4" s="378"/>
    </row>
    <row r="5" spans="1:10" ht="26.85" customHeight="1" x14ac:dyDescent="0.2">
      <c r="A5" s="482" t="s">
        <v>12</v>
      </c>
      <c r="B5" s="483"/>
      <c r="C5" s="120">
        <f>IF($H1=1,FEDERAL!B7,IF($H1=2,FEDERAL!B8,IF($H1=3,FEDERAL!B9,IF($H1=4,FEDERAL!B10,IF($H1=5,FEDERAL!B11,IF($H1=6,FEDERAL!B12,IF($H1=7,FEDERAL!B13,IF($H1="8A",FEDERAL!B14,IF($H1="8B",FEDERAL!B15,IF($H1="8C",FEDERAL!B16,IF($H1="8D",FEDERAL!B17,IF($H1="8E",FEDERAL!B18,IF($H1=9,FEDERAL!B19,IF($H1=10,FEDERAL!B20,IF($H1=11,FEDERAL!B21,IF($H1=12,FEDERAL!B22,IF($H1=13,FEDERAL!B23,IF($H1=14,FEDERAL!B24,IF($H1=15,FEDERAL!B25,IF($H1=16,FEDERAL!B26,IF($H1="17/18",FEDERAL!B27,IF($H1=19,FEDERAL!B28,IF($H1=20,FEDERAL!B29,IF($H1=21,FEDERAL!B30,IF($H1=22,FEDERAL!B31,"0")))))))))))))))))))))))))</f>
        <v>422578.136</v>
      </c>
      <c r="D5" s="120">
        <f>IF($H1=1,FEDERAL!C7,IF($H1=2,FEDERAL!C8,IF($H1=3,FEDERAL!C9,IF($H1=4,FEDERAL!C10,IF($H1=5,FEDERAL!C11,IF($H1=6,FEDERAL!C12,IF($H1=7,FEDERAL!C13,IF($H1="8A",FEDERAL!C14,IF($H1="8B",FEDERAL!C15,IF($H1="8C",FEDERAL!C16,IF($H1="8D",FEDERAL!C17,IF($H1="8E",FEDERAL!C18,IF($H1=9,FEDERAL!C19,IF($H1=10,FEDERAL!C20,IF($H1=11,FEDERAL!C21,IF($H1=12,FEDERAL!C22,IF($H1=13,FEDERAL!C23,IF($H1=14,FEDERAL!C24,IF($H1=15,FEDERAL!C25,IF($H1=16,FEDERAL!C26,IF($H1="17/18",FEDERAL!C27,IF($H1=19,FEDERAL!C28,IF($H1=20,FEDERAL!C29,IF($H1=21,FEDERAL!C30,IF($H1=22,FEDERAL!C31,"0")))))))))))))))))))))))))</f>
        <v>224132.16800000001</v>
      </c>
      <c r="E5" s="120">
        <f>IF($H1=1,FEDERAL!D7,IF($H1=2,FEDERAL!D8,IF($H1=3,FEDERAL!D9,IF($H1=4,FEDERAL!D10,IF($H1=5,FEDERAL!D11,IF($H1=6,FEDERAL!D12,IF($H1=7,FEDERAL!D13,IF($H1="8A",FEDERAL!D14,IF($H1="8B",FEDERAL!D15,IF($H1="8C",FEDERAL!D16,IF($H1="8D",FEDERAL!D17,IF($H1="8E",FEDERAL!D18,IF($H1=9,FEDERAL!D19,IF($H1=10,FEDERAL!D20,IF($H1=11,FEDERAL!D21,IF($H1=12,FEDERAL!D22,IF($H1=13,FEDERAL!D23,IF($H1=14,FEDERAL!D24,IF($H1=15,FEDERAL!D25,IF($H1=16,FEDERAL!D26,IF($H1="17/18",FEDERAL!D27,IF($H1=19,FEDERAL!D28,IF($H1=20,FEDERAL!D29,IF($H1=21,FEDERAL!D30,IF($H1=22,FEDERAL!D31,"0")))))))))))))))))))))))))</f>
        <v>376084.76</v>
      </c>
      <c r="F5" s="120">
        <f>IF($H1=1,FEDERAL!E7,IF($H1=2,FEDERAL!E8,IF($H1=3,FEDERAL!E9,IF($H1=4,FEDERAL!E10,IF($H1=5,FEDERAL!E11,IF($H1=6,FEDERAL!E12,IF($H1=7,FEDERAL!E13,IF($H1="8A",FEDERAL!E14,IF($H1="8B",FEDERAL!E15,IF($H1="8C",FEDERAL!E16,IF($H1="8D",FEDERAL!E17,IF($H1="8E",FEDERAL!E18,IF($H1=9,FEDERAL!E19,IF($H1=10,FEDERAL!E20,IF($H1=11,FEDERAL!E21,IF($H1=12,FEDERAL!E22,IF($H1=13,FEDERAL!E23,IF($H1=14,FEDERAL!E24,IF($H1=15,FEDERAL!E25,IF($H1=16,FEDERAL!E26,IF($H1="17/18",FEDERAL!E27,IF($H1=19,FEDERAL!E28,IF($H1=20,FEDERAL!E29,IF($H1=21,FEDERAL!E30,IF($H1=22,FEDERAL!E31,"0")))))))))))))))))))))))))</f>
        <v>31293.365579058733</v>
      </c>
      <c r="G5" s="120">
        <f>IF($H1=1,FEDERAL!F7,IF($H1=2,FEDERAL!F8,IF($H1=3,FEDERAL!F9,IF($H1=4,FEDERAL!F10,IF($H1=5,FEDERAL!F11,IF($H1=6,FEDERAL!F12,IF($H1=7,FEDERAL!F13,IF($H1="8A",FEDERAL!F14,IF($H1="8B",FEDERAL!F15,IF($H1="8C",FEDERAL!F16,IF($H1="8D",FEDERAL!F17,IF($H1="8E",FEDERAL!F18,IF($H1=9,FEDERAL!F19,IF($H1=10,FEDERAL!F20,IF($H1=11,FEDERAL!F21,IF($H1=12,FEDERAL!F22,IF($H1=13,FEDERAL!F23,IF($H1=14,FEDERAL!F24,IF($H1=15,FEDERAL!F25,IF($H1=16,FEDERAL!F26,IF($H1="17/18",FEDERAL!F27,IF($H1=19,FEDERAL!F28,IF($H1=20,FEDERAL!F29,IF($H1=21,FEDERAL!F30,IF($H1=22,FEDERAL!F31,"0")))))))))))))))))))))))))</f>
        <v>144910.992</v>
      </c>
      <c r="H5" s="120">
        <f>IF($H1=1,FEDERAL!G7,IF($H1=2,FEDERAL!G8,IF($H1=3,FEDERAL!G9,IF($H1=4,FEDERAL!G10,IF($H1=5,FEDERAL!G11,IF($H1=6,FEDERAL!G12,IF($H1=7,FEDERAL!G13,IF($H1="8A",FEDERAL!G14,IF($H1="8B",FEDERAL!G15,IF($H1="8C",FEDERAL!G16,IF($H1="8D",FEDERAL!G17,IF($H1="8E",FEDERAL!G18,IF($H1=9,FEDERAL!G19,IF($H1=10,FEDERAL!G20,IF($H1=11,FEDERAL!G21,IF($H1=12,FEDERAL!G22,IF($H1=13,FEDERAL!G23,IF($H1=14,FEDERAL!G24,IF($H1=15,FEDERAL!G25,IF($H1=16,FEDERAL!G26,IF($H1="17/18",FEDERAL!G27,IF($H1=19,FEDERAL!G28,IF($H1=20,FEDERAL!G29,IF($H1=21,FEDERAL!G30,IF($H1=22,FEDERAL!G31,"0")))))))))))))))))))))))))</f>
        <v>3325.6720000000005</v>
      </c>
      <c r="I5" s="120">
        <f>IF($H1=1,NSIP!E7,IF($H1=2,NSIP!E8,IF($H1=3,NSIP!E9,IF($H1=4,NSIP!E10,IF($H1=5,NSIP!E11,IF($H1=6,NSIP!E12,IF($H1=7,NSIP!E13,IF($H1="8A",NSIP!E14,IF($H1="8B",NSIP!E15,IF($H1="8C",NSIP!E16,IF($H1="8D",NSIP!E17,IF($H1="8E",NSIP!E18,IF($H1=9,NSIP!E19,IF($H1=10,NSIP!E20,IF($H1=11,NSIP!E21,IF($H1=12,NSIP!E22,IF($H1=13,NSIP!E23,IF($H1=14,NSIP!E24,IF($H1=15,NSIP!E25,IF($H1=16,NSIP!E26,IF($H1="17/18",NSIP!E27,IF($H1=19,NSIP!E28,IF($H1=20,NSIP!E29,IF($H1=21,NSIP!E30,IF($H1=22,NSIP!E31,"0")))))))))))))))))))))))))</f>
        <v>37673.645402556438</v>
      </c>
      <c r="J5" s="120">
        <f>IF($H1=1,FEDERAL!H7,IF($H1=2,FEDERAL!H8,IF($H1=3,FEDERAL!H9,IF($H1=4,FEDERAL!H10,IF($H1=5,FEDERAL!H11,IF($H1=6,FEDERAL!H12,IF($H1=7,FEDERAL!H13,IF($H1="8A",FEDERAL!H14,IF($H1="8B",FEDERAL!H15,IF($H1="8C",FEDERAL!H16,IF($H1="8D",FEDERAL!H17,IF($H1="8E",FEDERAL!H18,IF($H1=9,FEDERAL!H19,IF($H1=10,FEDERAL!H20,IF($H1=11,FEDERAL!H21,IF($H1=12,FEDERAL!H22,IF($H1=13,FEDERAL!H23,IF($H1=14,FEDERAL!H24,IF($H1=15,FEDERAL!H25,IF($H1=16,FEDERAL!H26,IF($H1="17/18",FEDERAL!H27,IF($H1=19,FEDERAL!H28,IF($H1=20,FEDERAL!H29,IF($H1=21,FEDERAL!H30,IF($H1=22,FEDERAL!H31,"0")))))))))))))))))))))))))</f>
        <v>13681.194217853958</v>
      </c>
    </row>
    <row r="6" spans="1:10" ht="26.85" customHeight="1" x14ac:dyDescent="0.2">
      <c r="A6" s="482" t="s">
        <v>13</v>
      </c>
      <c r="B6" s="483"/>
      <c r="C6" s="378"/>
      <c r="D6" s="378"/>
      <c r="E6" s="378"/>
      <c r="F6" s="379"/>
      <c r="G6" s="379"/>
      <c r="H6" s="379"/>
      <c r="I6" s="379"/>
      <c r="J6" s="379"/>
    </row>
    <row r="7" spans="1:10" ht="26.85" customHeight="1" x14ac:dyDescent="0.2">
      <c r="A7" s="482" t="s">
        <v>14</v>
      </c>
      <c r="B7" s="483"/>
      <c r="C7" s="120">
        <f>C4+C5+C6</f>
        <v>432578.136</v>
      </c>
      <c r="D7" s="120">
        <f>D4+D5+D6</f>
        <v>324132.16800000001</v>
      </c>
      <c r="E7" s="120">
        <f>E4+E5+E6</f>
        <v>456084.76</v>
      </c>
      <c r="F7" s="380">
        <f>F4+F5</f>
        <v>47293.365579058736</v>
      </c>
      <c r="G7" s="120">
        <f>G4+G5</f>
        <v>189910.992</v>
      </c>
      <c r="H7" s="120">
        <f>H4+H5</f>
        <v>3325.6720000000005</v>
      </c>
      <c r="I7" s="120">
        <f>I4+I5</f>
        <v>37673.645402556438</v>
      </c>
      <c r="J7" s="120">
        <f>J4+J5</f>
        <v>13681.194217853958</v>
      </c>
    </row>
    <row r="8" spans="1:10" ht="26.85" customHeight="1" x14ac:dyDescent="0.2">
      <c r="A8" s="482" t="s">
        <v>15</v>
      </c>
      <c r="B8" s="483"/>
      <c r="C8" s="120">
        <f>'Title III'!AO6</f>
        <v>432578</v>
      </c>
      <c r="D8" s="120">
        <f>'Title III'!AO7</f>
        <v>324132</v>
      </c>
      <c r="E8" s="120">
        <f>'Title III'!AO8</f>
        <v>456085</v>
      </c>
      <c r="F8" s="380">
        <f>'Title III'!AO9</f>
        <v>47293</v>
      </c>
      <c r="G8" s="120">
        <f>'III-E Grandparents'!AF6</f>
        <v>189911</v>
      </c>
      <c r="H8" s="120">
        <f>'Title III'!AO11</f>
        <v>3326</v>
      </c>
      <c r="I8" s="120">
        <f>'Title III'!AO19+'III-E Grandparents'!AF13</f>
        <v>37674</v>
      </c>
      <c r="J8" s="120">
        <f>'Title III'!AO10</f>
        <v>13681</v>
      </c>
    </row>
    <row r="9" spans="1:10" ht="26.85" customHeight="1" x14ac:dyDescent="0.2">
      <c r="A9" s="482" t="s">
        <v>16</v>
      </c>
      <c r="B9" s="483"/>
      <c r="C9" s="120">
        <f>C7-C8</f>
        <v>0.13599999999860302</v>
      </c>
      <c r="D9" s="120">
        <f t="shared" ref="D9:F9" si="0">D7-D8</f>
        <v>0.16800000000512227</v>
      </c>
      <c r="E9" s="120">
        <f>E7-E8</f>
        <v>-0.23999999999068677</v>
      </c>
      <c r="F9" s="380">
        <f t="shared" si="0"/>
        <v>0.3655790587363299</v>
      </c>
      <c r="G9" s="120">
        <f t="shared" ref="G9:I9" si="1">G7-G8</f>
        <v>-8.0000000016298145E-3</v>
      </c>
      <c r="H9" s="120">
        <f t="shared" si="1"/>
        <v>-0.32799999999951979</v>
      </c>
      <c r="I9" s="120">
        <f t="shared" si="1"/>
        <v>-0.35459744356194278</v>
      </c>
      <c r="J9" s="120">
        <f>J7-J8</f>
        <v>0.19421785395752522</v>
      </c>
    </row>
    <row r="10" spans="1:10" ht="14.45" customHeight="1" x14ac:dyDescent="0.2">
      <c r="A10" s="490"/>
      <c r="B10" s="490"/>
      <c r="C10" s="490"/>
      <c r="D10" s="490"/>
      <c r="E10" s="490"/>
      <c r="F10" s="490"/>
      <c r="G10" s="490"/>
      <c r="H10" s="490"/>
      <c r="I10" s="490"/>
      <c r="J10" s="491"/>
    </row>
    <row r="11" spans="1:10" s="4" customFormat="1" ht="26.85" customHeight="1" x14ac:dyDescent="0.2">
      <c r="A11" s="482" t="s">
        <v>2</v>
      </c>
      <c r="B11" s="483"/>
      <c r="C11" s="121" t="s">
        <v>17</v>
      </c>
      <c r="D11" s="121" t="s">
        <v>18</v>
      </c>
      <c r="E11" s="121" t="s">
        <v>19</v>
      </c>
      <c r="F11" s="121" t="s">
        <v>20</v>
      </c>
      <c r="G11" s="122" t="s">
        <v>21</v>
      </c>
      <c r="H11" s="121" t="s">
        <v>22</v>
      </c>
      <c r="I11" s="121" t="s">
        <v>23</v>
      </c>
      <c r="J11" s="123"/>
    </row>
    <row r="12" spans="1:10" ht="26.85" customHeight="1" x14ac:dyDescent="0.2">
      <c r="A12" s="482" t="s">
        <v>11</v>
      </c>
      <c r="B12" s="483"/>
      <c r="C12" s="378"/>
      <c r="D12" s="378"/>
      <c r="E12" s="378"/>
      <c r="F12" s="378"/>
      <c r="G12" s="378"/>
      <c r="H12" s="378"/>
      <c r="I12" s="378"/>
      <c r="J12" s="124"/>
    </row>
    <row r="13" spans="1:10" ht="26.85" customHeight="1" x14ac:dyDescent="0.2">
      <c r="A13" s="482" t="s">
        <v>24</v>
      </c>
      <c r="B13" s="483"/>
      <c r="C13" s="120">
        <f>IF($H1=1,'GENERAL 3-4'!B7,IF($H1=2,'GENERAL 3-4'!B8,IF($H1=3,'GENERAL 3-4'!B9,IF($H1=4,'GENERAL 3-4'!B10,IF($H1=5,'GENERAL 3-4'!B11,IF($H1=6,'GENERAL 3-4'!B12,IF($H1=7,'GENERAL 3-4'!B13,IF($H1="8A",'GENERAL 3-4'!B14,IF($H1="8B",'GENERAL 3-4'!B15,IF($H1="8C",'GENERAL 3-4'!B16,IF($H1="8D",'GENERAL 3-4'!B17,IF($H1="8E",'GENERAL 3-4'!B18,IF($H1=9,'GENERAL 3-4'!B19,IF($H1=10,'GENERAL 3-4'!B20,IF($H1=11,'GENERAL 3-4'!B21,IF($H1=12,'GENERAL 3-4'!B22,IF($H1=13,'GENERAL 3-4'!B23,IF($H1=14,'GENERAL 3-4'!B24,IF($H1=15,'GENERAL 3-4'!B25,IF($H1=16,'GENERAL 3-4'!B26,IF($H1="17/18",'GENERAL 3-4'!B27,IF($H1=19,'GENERAL 3-4'!B28,IF($H1=20,'GENERAL 3-4'!B29,IF($H1=21,'GENERAL 3-4'!B30,IF($H1=22,'GENERAL 3-4'!B31,"0")))))))))))))))))))))))))</f>
        <v>130736.80813313476</v>
      </c>
      <c r="D13" s="120">
        <f>IF($H1=1,'GENERAL 3-4'!C7,IF($H1=2,'GENERAL 3-4'!C8,IF($H1=3,'GENERAL 3-4'!C9,IF($H1=4,'GENERAL 3-4'!C10,IF($H1=5,'GENERAL 3-4'!C11,IF($H1=6,'GENERAL 3-4'!C12,IF($H1=7,'GENERAL 3-4'!C13,IF($H1="8A",'GENERAL 3-4'!C14,IF($H1="8B",'GENERAL 3-4'!C15,IF($H1="8C",'GENERAL 3-4'!C16,IF($H1="8D",'GENERAL 3-4'!C17,IF($H1="8E",'GENERAL 3-4'!C18,IF($H1=9,'GENERAL 3-4'!C19,IF($H1=10,'GENERAL 3-4'!C20,IF($H1=11,'GENERAL 3-4'!C21,IF($H1=12,'GENERAL 3-4'!C22,IF($H1=13,'GENERAL 3-4'!C23,IF($H1=14,'GENERAL 3-4'!C24,IF($H1=15,'GENERAL 3-4'!C25,IF($H1=16,'GENERAL 3-4'!C26,IF($H1="17/18",'GENERAL 3-4'!C27,IF($H1=19,'GENERAL 3-4'!C28,IF($H1=20,'GENERAL 3-4'!C29,IF($H1=21,'GENERAL 3-4'!C30,IF($H1=22,'GENERAL 3-4'!C31,"0")))))))))))))))))))))))))</f>
        <v>96054.567999999999</v>
      </c>
      <c r="E13" s="120">
        <f>IF($H1=1,'GENERAL 3-4'!D7,IF($H1=2,'GENERAL 3-4'!D8,IF($H1=3,'GENERAL 3-4'!D9,IF($H1=4,'GENERAL 3-4'!D10,IF($H1=5,'GENERAL 3-4'!D11,IF($H1=6,'GENERAL 3-4'!D12,IF($H1=7,'GENERAL 3-4'!D13,IF($H1="8A",'GENERAL 3-4'!D14,IF($H1="8B",'GENERAL 3-4'!D15,IF($H1="8C",'GENERAL 3-4'!D16,IF($H1="8D",'GENERAL 3-4'!D17,IF($H1="8E",'GENERAL 3-4'!D18,IF($H1=9,'GENERAL 3-4'!D19,IF($H1=10,'GENERAL 3-4'!D20,IF($H1=11,'GENERAL 3-4'!D21,IF($H1=12,'GENERAL 3-4'!D22,IF($H1=13,'GENERAL 3-4'!D23,IF($H1=14,'GENERAL 3-4'!D24,IF($H1=15,'GENERAL 3-4'!D25,IF($H1=16,'GENERAL 3-4'!D26,IF($H1="17/18",'GENERAL 3-4'!D27,IF($H1=19,'GENERAL 3-4'!D28,IF($H1=20,'GENERAL 3-4'!D29,IF($H1=21,'GENERAL 3-4'!D30,IF($H1=22,'GENERAL 3-4'!D31,"0")))))))))))))))))))))))))</f>
        <v>34786.28</v>
      </c>
      <c r="F13" s="120">
        <f>IF($H1=1,'GENERAL 3-4'!E7,IF($H1=2,'GENERAL 3-4'!E8,IF($H1=3,'GENERAL 3-4'!E9,IF($H1=4,'GENERAL 3-4'!E10,IF($H1=5,'GENERAL 3-4'!E11,IF($H1=6,'GENERAL 3-4'!E12,IF($H1=7,'GENERAL 3-4'!E13,IF($H1="8A",'GENERAL 3-4'!E14,IF($H1="8B",'GENERAL 3-4'!E15,IF($H1="8C",'GENERAL 3-4'!E16,IF($H1="8D",'GENERAL 3-4'!E17,IF($H1="8E",'GENERAL 3-4'!E18,IF($H1=9,'GENERAL 3-4'!E19,IF($H1=10,'GENERAL 3-4'!E20,IF($H1=11,'GENERAL 3-4'!E21,IF($H1=12,'GENERAL 3-4'!E22,IF($H1=13,'GENERAL 3-4'!E23,IF($H1=14,'GENERAL 3-4'!E24,IF($H1=15,'GENERAL 3-4'!E25,IF($H1=16,'GENERAL 3-4'!E26,IF($H1="17/18",'GENERAL 3-4'!E27,IF($H1=19,'GENERAL 3-4'!E28,IF($H1=20,'GENERAL 3-4'!E29,IF($H1=21,'GENERAL 3-4'!E30,IF($H1=22,'GENERAL 3-4'!E31,"0")))))))))))))))))))))))))</f>
        <v>122640.34400000001</v>
      </c>
      <c r="G13" s="120">
        <f>IF($H1=1,'GENERAL 3-4'!F7,IF($H1=2,'GENERAL 3-4'!F8,IF($H1=3,'GENERAL 3-4'!F9,IF($H1=4,'GENERAL 3-4'!F10,IF($H1=5,'GENERAL 3-4'!F11,IF($H1=6,'GENERAL 3-4'!F12,IF($H1=7,'GENERAL 3-4'!F13,IF($H1="8A",'GENERAL 3-4'!F14,IF($H1="8B",'GENERAL 3-4'!F15,IF($H1="8C",'GENERAL 3-4'!F16,IF($H1="8D",'GENERAL 3-4'!F17,IF($H1="8E",'GENERAL 3-4'!F18,IF($H1=9,'GENERAL 3-4'!F19,IF($H1=10,'GENERAL 3-4'!F20,IF($H1=11,'GENERAL 3-4'!F21,IF($H1=12,'GENERAL 3-4'!F22,IF($H1=13,'GENERAL 3-4'!F23,IF($H1=14,'GENERAL 3-4'!F24,IF($H1=15,'GENERAL 3-4'!F25,IF($H1=16,'GENERAL 3-4'!F26,IF($H1="17/18",'GENERAL 3-4'!F27,IF($H1=19,'GENERAL 3-4'!F28,IF($H1=20,'GENERAL 3-4'!F29,IF($H1=21,'GENERAL 3-4'!F30,IF($H1=22,'GENERAL 3-4'!F31,"0")))))))))))))))))))))))))</f>
        <v>29704.224000000002</v>
      </c>
      <c r="H13" s="120">
        <f>IF($H1=1,'GENERAL 3-4'!G7,IF($H1=2,'GENERAL 3-4'!G8,IF($H1=3,'GENERAL 3-4'!G9,IF($H1=4,'GENERAL 3-4'!G10,IF($H1=5,'GENERAL 3-4'!G11,IF($H1=6,'GENERAL 3-4'!G12,IF($H1=7,'GENERAL 3-4'!G13,IF($H1="8A",'GENERAL 3-4'!G14,IF($H1="8B",'GENERAL 3-4'!G15,IF($H1="8C",'GENERAL 3-4'!G16,IF($H1="8D",'GENERAL 3-4'!G17,IF($H1="8E",'GENERAL 3-4'!G18,IF($H1=9,'GENERAL 3-4'!G19,IF($H1=10,'GENERAL 3-4'!G20,IF($H1=11,'GENERAL 3-4'!G21,IF($H1=12,'GENERAL 3-4'!G22,IF($H1=13,'GENERAL 3-4'!G23,IF($H1=14,'GENERAL 3-4'!G24,IF($H1=15,'GENERAL 3-4'!G25,IF($H1=16,'GENERAL 3-4'!G26,IF($H1="17/18",'GENERAL 3-4'!G27,IF($H1=19,'GENERAL 3-4'!G28,IF($H1=20,'GENERAL 3-4'!G29,IF($H1=21,'GENERAL 3-4'!G30,IF($H1=22,'GENERAL 3-4'!G31,"0")))))))))))))))))))))))))</f>
        <v>43367.25</v>
      </c>
      <c r="I13" s="120">
        <f>IF($H1=1,'GENERAL 3-4'!H7,IF($H1=2,'GENERAL 3-4'!H8,IF($H1=3,'GENERAL 3-4'!H9,IF($H1=4,'GENERAL 3-4'!H10,IF($H1=5,'GENERAL 3-4'!H11,IF($H1=6,'GENERAL 3-4'!H12,IF($H1=7,'GENERAL 3-4'!H13,IF($H1="8A",'GENERAL 3-4'!H14,IF($H1="8B",'GENERAL 3-4'!H15,IF($H1="8C",'GENERAL 3-4'!H16,IF($H1="8D",'GENERAL 3-4'!H17,IF($H1="8E",'GENERAL 3-4'!H18,IF($H1=9,'GENERAL 3-4'!H19,IF($H1=10,'GENERAL 3-4'!H20,IF($H1=11,'GENERAL 3-4'!H21,IF($H1=12,'GENERAL 3-4'!H22,IF($H1=13,'GENERAL 3-4'!H23,IF($H1=14,'GENERAL 3-4'!H24,IF($H1=15,'GENERAL 3-4'!H25,IF($H1=16,'GENERAL 3-4'!H26,IF($H1="17/18",'GENERAL 3-4'!H27,IF($H1=19,'GENERAL 3-4'!H28,IF($H1=20,'GENERAL 3-4'!H29,IF($H1=21,'GENERAL 3-4'!H30,IF($H1=22,'GENERAL 3-4'!H31,"0")))))))))))))))))))))))))</f>
        <v>7265.5928353128011</v>
      </c>
      <c r="J13" s="124"/>
    </row>
    <row r="14" spans="1:10" ht="26.85" customHeight="1" x14ac:dyDescent="0.2">
      <c r="A14" s="482" t="s">
        <v>25</v>
      </c>
      <c r="B14" s="483"/>
      <c r="C14" s="379"/>
      <c r="D14" s="378"/>
      <c r="E14" s="378"/>
      <c r="F14" s="378"/>
      <c r="G14" s="125"/>
      <c r="H14" s="125"/>
      <c r="I14" s="379"/>
      <c r="J14" s="124"/>
    </row>
    <row r="15" spans="1:10" ht="26.85" customHeight="1" x14ac:dyDescent="0.2">
      <c r="A15" s="482" t="s">
        <v>26</v>
      </c>
      <c r="B15" s="483"/>
      <c r="C15" s="120">
        <f>IF($H1=1,'GENERAL 1-4'!B7,IF($H1=2,'GENERAL 1-4'!B8,IF($H1=3,'GENERAL 1-4'!B9,IF($H1=4,'GENERAL 1-4'!B10,IF($H1=5,'GENERAL 1-4'!B11,IF($H1=6,'GENERAL 1-4'!B12,IF($H1=7,'GENERAL 1-4'!B13,IF($H1="8A",'GENERAL 1-4'!B14,IF($H1="8B",'GENERAL 1-4'!B15,IF($H1="8C",'GENERAL 1-4'!B16,IF($H1="8D",'GENERAL 1-4'!B17,IF($H1="8E",'GENERAL 1-4'!B18,IF($H1=9,'GENERAL 1-4'!B19,IF($H1=10,'GENERAL 1-4'!B20,IF($H1=11,'GENERAL 1-4'!B21,IF($H1=12,'GENERAL 1-4'!B22,IF($H1=13,'GENERAL 1-4'!B23,IF($H1=14,'GENERAL 1-4'!B24,IF($H1=15,'GENERAL 1-4'!B25,IF($H1=16,'GENERAL 1-4'!B26,IF($H1="17/18",'GENERAL 1-4'!B27,IF($H1=19,'GENERAL 1-4'!B28,IF($H1=20,'GENERAL 1-4'!B29,IF($H1=21,'GENERAL 1-4'!B30,IF($H1=22,'GENERAL 1-4'!B31,"0")))))))))))))))))))))))))</f>
        <v>22777.488000000001</v>
      </c>
      <c r="D15" s="120">
        <f>IF($H1=1,'GENERAL 1-4'!C7,IF($H1=2,'GENERAL 1-4'!C8,IF($H1=3,'GENERAL 1-4'!C9,IF($H1=4,'GENERAL 1-4'!C10,IF($H1=5,'GENERAL 1-4'!C11,IF($H1=6,'GENERAL 1-4'!C12,IF($H1=7,'GENERAL 1-4'!C13,IF($H1="8A",'GENERAL 1-4'!C14,IF($H1="8B",'GENERAL 1-4'!C15,IF($H1="8C",'GENERAL 1-4'!C16,IF($H1="8D",'GENERAL 1-4'!C17,IF($H1="8E",'GENERAL 1-4'!C18,IF($H1=9,'GENERAL 1-4'!C19,IF($H1=10,'GENERAL 1-4'!C20,IF($H1=11,'GENERAL 1-4'!C21,IF($H1=12,'GENERAL 1-4'!C22,IF($H1=13,'GENERAL 1-4'!C23,IF($H1=14,'GENERAL 1-4'!C24,IF($H1=15,'GENERAL 1-4'!C25,IF($H1=16,'GENERAL 1-4'!C26,IF($H1="17/18",'GENERAL 1-4'!C27,IF($H1=19,'GENERAL 1-4'!C28,IF($H1=20,'GENERAL 1-4'!C29,IF($H1=21,'GENERAL 1-4'!C30,IF($H1=22,'GENERAL 1-4'!C31,"0")))))))))))))))))))))))))</f>
        <v>32018.576000000001</v>
      </c>
      <c r="E15" s="120">
        <f>IF($H1=1,'GENERAL 1-4'!D7,IF($H1=2,'GENERAL 1-4'!D8,IF($H1=3,'GENERAL 1-4'!D9,IF($H1=4,'GENERAL 1-4'!D10,IF($H1=5,'GENERAL 1-4'!D11,IF($H1=6,'GENERAL 1-4'!D12,IF($H1=7,'GENERAL 1-4'!D13,IF($H1="8A",'GENERAL 1-4'!D14,IF($H1="8B",'GENERAL 1-4'!D15,IF($H1="8C",'GENERAL 1-4'!D16,IF($H1="8D",'GENERAL 1-4'!D17,IF($H1="8E",'GENERAL 1-4'!D18,IF($H1=9,'GENERAL 1-4'!D19,IF($H1=10,'GENERAL 1-4'!D20,IF($H1=11,'GENERAL 1-4'!D21,IF($H1=12,'GENERAL 1-4'!D22,IF($H1=13,'GENERAL 1-4'!D23,IF($H1=14,'GENERAL 1-4'!D24,IF($H1=15,'GENERAL 1-4'!D25,IF($H1=16,'GENERAL 1-4'!D26,IF($H1="17/18",'GENERAL 1-4'!D27,IF($H1=19,'GENERAL 1-4'!D28,IF($H1=20,'GENERAL 1-4'!D29,IF($H1=21,'GENERAL 1-4'!D30,IF($H1=22,'GENERAL 1-4'!D31,"0")))))))))))))))))))))))))</f>
        <v>11595.328000000001</v>
      </c>
      <c r="F15" s="120">
        <f>IF($H1=1,'GENERAL 1-4'!E7,IF($H1=2,'GENERAL 1-4'!E8,IF($H1=3,'GENERAL 1-4'!E9,IF($H1=4,'GENERAL 1-4'!E10,IF($H1=5,'GENERAL 1-4'!E11,IF($H1=6,'GENERAL 1-4'!E12,IF($H1=7,'GENERAL 1-4'!E13,IF($H1="8A",'GENERAL 1-4'!E14,IF($H1="8B",'GENERAL 1-4'!E15,IF($H1="8C",'GENERAL 1-4'!E16,IF($H1="8D",'GENERAL 1-4'!E17,IF($H1="8E",'GENERAL 1-4'!E18,IF($H1=9,'GENERAL 1-4'!E19,IF($H1=10,'GENERAL 1-4'!E20,IF($H1=11,'GENERAL 1-4'!E21,IF($H1=12,'GENERAL 1-4'!E22,IF($H1=13,'GENERAL 1-4'!E23,IF($H1=14,'GENERAL 1-4'!E24,IF($H1=15,'GENERAL 1-4'!E25,IF($H1=16,'GENERAL 1-4'!E26,IF($H1="17/18",'GENERAL 1-4'!E27,IF($H1=19,'GENERAL 1-4'!E28,IF($H1=20,'GENERAL 1-4'!E29,IF($H1=21,'GENERAL 1-4'!E30,IF($H1=22,'GENERAL 1-4'!E31,"0")))))))))))))))))))))))))</f>
        <v>40879.968000000001</v>
      </c>
      <c r="G15" s="120">
        <f>IF($H1=1,'GENERAL 1-4'!F7,IF($H1=2,'GENERAL 1-4'!F8,IF($H1=3,'GENERAL 1-4'!F9,IF($H1=4,'GENERAL 1-4'!F10,IF($H1=5,'GENERAL 1-4'!F11,IF($H1=6,'GENERAL 1-4'!F12,IF($H1=7,'GENERAL 1-4'!F13,IF($H1="8A",'GENERAL 1-4'!F14,IF($H1="8B",'GENERAL 1-4'!F15,IF($H1="8C",'GENERAL 1-4'!F16,IF($H1="8D",'GENERAL 1-4'!F17,IF($H1="8E",'GENERAL 1-4'!F18,IF($H1=9,'GENERAL 1-4'!F19,IF($H1=10,'GENERAL 1-4'!F20,IF($H1=11,'GENERAL 1-4'!F21,IF($H1=12,'GENERAL 1-4'!F22,IF($H1=13,'GENERAL 1-4'!F23,IF($H1=14,'GENERAL 1-4'!F24,IF($H1=15,'GENERAL 1-4'!F25,IF($H1=16,'GENERAL 1-4'!F26,IF($H1="17/18",'GENERAL 1-4'!F27,IF($H1=19,'GENERAL 1-4'!F28,IF($H1=20,'GENERAL 1-4'!F29,IF($H1=21,'GENERAL 1-4'!F30,IF($H1=22,'GENERAL 1-4'!F31,"0")))))))))))))))))))))))))</f>
        <v>9900.92</v>
      </c>
      <c r="H15" s="120">
        <f>IF($H1=1,'GENERAL 1-4'!G7,IF($H1=2,'GENERAL 1-4'!G8,IF($H1=3,'GENERAL 1-4'!G9,IF($H1=4,'GENERAL 1-4'!G10,IF($H1=5,'GENERAL 1-4'!G11,IF($H1=6,'GENERAL 1-4'!G12,IF($H1=7,'GENERAL 1-4'!G13,IF($H1="8A",'GENERAL 1-4'!G14,IF($H1="8B",'GENERAL 1-4'!G15,IF($H1="8C",'GENERAL 1-4'!G16,IF($H1="8D",'GENERAL 1-4'!G17,IF($H1="8E",'GENERAL 1-4'!G18,IF($H1=9,'GENERAL 1-4'!G19,IF($H1=10,'GENERAL 1-4'!G20,IF($H1=11,'GENERAL 1-4'!G21,IF($H1=12,'GENERAL 1-4'!G22,IF($H1=13,'GENERAL 1-4'!G23,IF($H1=14,'GENERAL 1-4'!G24,IF($H1=15,'GENERAL 1-4'!G25,IF($H1=16,'GENERAL 1-4'!G26,IF($H1="17/18",'GENERAL 1-4'!G27,IF($H1=19,'GENERAL 1-4'!G28,IF($H1=20,'GENERAL 1-4'!G29,IF($H1=21,'GENERAL 1-4'!G30,IF($H1=22,'GENERAL 1-4'!G31,"0")))))))))))))))))))))))))</f>
        <v>14455.75</v>
      </c>
      <c r="I15" s="120">
        <f>IF($H1=1,'GENERAL 1-4'!H7,IF($H1=2,'GENERAL 1-4'!H8,IF($H1=3,'GENERAL 1-4'!H9,IF($H1=4,'GENERAL 1-4'!H10,IF($H1=5,'GENERAL 1-4'!H11,IF($H1=6,'GENERAL 1-4'!H12,IF($H1=7,'GENERAL 1-4'!H13,IF($H1="8A",'GENERAL 1-4'!H14,IF($H1="8B",'GENERAL 1-4'!H15,IF($H1="8C",'GENERAL 1-4'!H16,IF($H1="8D",'GENERAL 1-4'!H17,IF($H1="8E",'GENERAL 1-4'!H18,IF($H1=9,'GENERAL 1-4'!H19,IF($H1=10,'GENERAL 1-4'!H20,IF($H1=11,'GENERAL 1-4'!H21,IF($H1=12,'GENERAL 1-4'!H22,IF($H1=13,'GENERAL 1-4'!H23,IF($H1=14,'GENERAL 1-4'!H24,IF($H1=15,'GENERAL 1-4'!H25,IF($H1=16,'GENERAL 1-4'!H26,IF($H1="17/18",'GENERAL 1-4'!H27,IF($H1=19,'GENERAL 1-4'!H28,IF($H1=20,'GENERAL 1-4'!H29,IF($H1=21,'GENERAL 1-4'!H30,IF($H1=22,'GENERAL 1-4'!H31,"0")))))))))))))))))))))))))</f>
        <v>2421.8729013143507</v>
      </c>
      <c r="J15" s="124"/>
    </row>
    <row r="16" spans="1:10" ht="26.85" customHeight="1" x14ac:dyDescent="0.2">
      <c r="A16" s="482" t="s">
        <v>27</v>
      </c>
      <c r="B16" s="483"/>
      <c r="C16" s="379"/>
      <c r="D16" s="378"/>
      <c r="E16" s="378"/>
      <c r="F16" s="378"/>
      <c r="G16" s="125"/>
      <c r="H16" s="125"/>
      <c r="I16" s="379"/>
      <c r="J16" s="124"/>
    </row>
    <row r="17" spans="1:11" ht="26.85" customHeight="1" x14ac:dyDescent="0.2">
      <c r="A17" s="482" t="s">
        <v>14</v>
      </c>
      <c r="B17" s="483"/>
      <c r="C17" s="120">
        <f>C12+C13+C15</f>
        <v>153514.29613313478</v>
      </c>
      <c r="D17" s="120">
        <f t="shared" ref="D17:F17" si="2">D12+D13+D14+D15+D16</f>
        <v>128073.144</v>
      </c>
      <c r="E17" s="120">
        <f>E12+E13+E14+E15+E16</f>
        <v>46381.608</v>
      </c>
      <c r="F17" s="120">
        <f t="shared" si="2"/>
        <v>163520.31200000001</v>
      </c>
      <c r="G17" s="120">
        <f>G12+G13+G15</f>
        <v>39605.144</v>
      </c>
      <c r="H17" s="120">
        <f>H12+H13+H15</f>
        <v>57823</v>
      </c>
      <c r="I17" s="120">
        <f>I12+I13+I15</f>
        <v>9687.4657366271513</v>
      </c>
      <c r="J17" s="124"/>
    </row>
    <row r="18" spans="1:11" ht="26.85" customHeight="1" x14ac:dyDescent="0.2">
      <c r="A18" s="482" t="s">
        <v>28</v>
      </c>
      <c r="B18" s="483"/>
      <c r="C18" s="120">
        <f>'Title III'!AO21+'Title III'!AO28+'III-E Grandparents'!AF15+'III-E Grandparents'!AF20</f>
        <v>153514</v>
      </c>
      <c r="D18" s="120">
        <f>'Title III'!AO22+'III-E Grandparents'!AF16+Respite!H18</f>
        <v>128073</v>
      </c>
      <c r="E18" s="120">
        <f>'Title III'!AO23+'III-E Grandparents'!AF17</f>
        <v>46382</v>
      </c>
      <c r="F18" s="120">
        <f>'Title III'!AO24+'III-E Grandparents'!AF18</f>
        <v>163520</v>
      </c>
      <c r="G18" s="120">
        <f>'Title III'!AO25+'III-E Grandparents'!AF19</f>
        <v>39605</v>
      </c>
      <c r="H18" s="120">
        <f>'Title III'!AO26+'Title III'!I29+'Title III'!K29</f>
        <v>57823</v>
      </c>
      <c r="I18" s="120">
        <f>'Title III'!AO27</f>
        <v>9687</v>
      </c>
      <c r="J18" s="124"/>
    </row>
    <row r="19" spans="1:11" ht="26.85" customHeight="1" x14ac:dyDescent="0.2">
      <c r="A19" s="486" t="s">
        <v>29</v>
      </c>
      <c r="B19" s="486"/>
      <c r="C19" s="120">
        <f t="shared" ref="C19:G19" si="3">C17-C18</f>
        <v>0.29613313477602787</v>
      </c>
      <c r="D19" s="120">
        <f t="shared" si="3"/>
        <v>0.14400000000023283</v>
      </c>
      <c r="E19" s="120">
        <f t="shared" si="3"/>
        <v>-0.39199999999982538</v>
      </c>
      <c r="F19" s="120">
        <f t="shared" si="3"/>
        <v>0.3120000000053551</v>
      </c>
      <c r="G19" s="120">
        <f t="shared" si="3"/>
        <v>0.14400000000023283</v>
      </c>
      <c r="H19" s="120">
        <f>H17-H18</f>
        <v>0</v>
      </c>
      <c r="I19" s="120">
        <f>I17-I18</f>
        <v>0.46573662715127284</v>
      </c>
      <c r="J19" s="124"/>
    </row>
    <row r="20" spans="1:11" ht="28.5" customHeight="1" x14ac:dyDescent="0.2">
      <c r="A20" s="482" t="s">
        <v>30</v>
      </c>
      <c r="B20" s="483"/>
      <c r="C20" s="378"/>
      <c r="D20" s="378"/>
      <c r="E20" s="378"/>
      <c r="F20" s="378"/>
      <c r="G20" s="378"/>
      <c r="H20" s="378"/>
      <c r="I20" s="378"/>
      <c r="J20" s="244"/>
    </row>
    <row r="21" spans="1:11" ht="28.5" customHeight="1" x14ac:dyDescent="0.2">
      <c r="A21" s="486" t="s">
        <v>16</v>
      </c>
      <c r="B21" s="486"/>
      <c r="C21" s="120">
        <f t="shared" ref="C21:I21" si="4">C19+C20</f>
        <v>0.29613313477602787</v>
      </c>
      <c r="D21" s="120">
        <f t="shared" si="4"/>
        <v>0.14400000000023283</v>
      </c>
      <c r="E21" s="120">
        <f t="shared" si="4"/>
        <v>-0.39199999999982538</v>
      </c>
      <c r="F21" s="120">
        <f t="shared" si="4"/>
        <v>0.3120000000053551</v>
      </c>
      <c r="G21" s="120">
        <f t="shared" si="4"/>
        <v>0.14400000000023283</v>
      </c>
      <c r="H21" s="120">
        <f t="shared" si="4"/>
        <v>0</v>
      </c>
      <c r="I21" s="254">
        <f t="shared" si="4"/>
        <v>0.46573662715127284</v>
      </c>
      <c r="J21" s="381"/>
    </row>
    <row r="22" spans="1:11" ht="26.85" customHeight="1" x14ac:dyDescent="0.2">
      <c r="A22" s="233"/>
      <c r="B22" s="126"/>
      <c r="C22" s="382"/>
      <c r="D22" s="382"/>
      <c r="E22" s="484"/>
      <c r="F22" s="484"/>
      <c r="G22" s="484"/>
      <c r="H22" s="484"/>
      <c r="I22" s="484"/>
      <c r="J22" s="484"/>
    </row>
    <row r="23" spans="1:11" ht="26.85" customHeight="1" x14ac:dyDescent="0.2">
      <c r="A23" s="482" t="s">
        <v>2</v>
      </c>
      <c r="B23" s="483"/>
      <c r="C23" s="142" t="s">
        <v>31</v>
      </c>
      <c r="D23" s="127"/>
      <c r="E23" s="485" t="s">
        <v>32</v>
      </c>
      <c r="F23" s="485"/>
      <c r="G23" s="485"/>
      <c r="H23" s="485"/>
      <c r="I23" s="485"/>
      <c r="J23" s="485"/>
    </row>
    <row r="24" spans="1:11" ht="26.85" customHeight="1" x14ac:dyDescent="0.2">
      <c r="A24" s="482" t="s">
        <v>11</v>
      </c>
      <c r="B24" s="483"/>
      <c r="C24" s="378"/>
      <c r="D24" s="383"/>
      <c r="E24" s="485"/>
      <c r="F24" s="485"/>
      <c r="G24" s="485"/>
      <c r="H24" s="485"/>
      <c r="I24" s="485"/>
      <c r="J24" s="485"/>
    </row>
    <row r="25" spans="1:11" ht="26.85" customHeight="1" x14ac:dyDescent="0.2">
      <c r="A25" s="482" t="s">
        <v>12</v>
      </c>
      <c r="B25" s="483"/>
      <c r="C25" s="120">
        <f>IF($H1=1,'DMAS OMB'!D7,IF($H1=2,'DMAS OMB'!D8,IF($H1=3,'DMAS OMB'!D9,IF($H1=4,'DMAS OMB'!D10,IF($H1=5,'DMAS OMB'!D11,IF($H1=6,'DMAS OMB'!D12,IF($H1=7,'DMAS OMB'!D13,IF($H1="8A",'DMAS OMB'!D14,IF($H1="8B",'DMAS OMB'!D15,IF($H1="8C",'DMAS OMB'!D16,IF($H1="8D",'DMAS OMB'!D17,IF($H1="8E",'DMAS OMB'!D18,IF($H1=9,'DMAS OMB'!D19,IF($H1=10,'DMAS OMB'!D20,IF($H1=11,'DMAS OMB'!D21,IF($H1=12,'DMAS OMB'!D22,IF($H1=13,'DMAS OMB'!D23,IF($H1=14,'DMAS OMB'!D24,IF($H1=15,'DMAS OMB'!D25,IF($H1=16,'DMAS OMB'!D26,IF($H1="17/18",'DMAS OMB'!D27,IF($H1=19,'DMAS OMB'!D28,IF($H1=20,'DMAS OMB'!D29,IF($H1=21,'DMAS OMB'!D30,IF($H1=22,'DMAS OMB'!D31,"0")))))))))))))))))))))))))</f>
        <v>1914.1524882733354</v>
      </c>
      <c r="D25" s="383"/>
      <c r="E25" s="485"/>
      <c r="F25" s="485"/>
      <c r="G25" s="485"/>
      <c r="H25" s="485"/>
      <c r="I25" s="485"/>
      <c r="J25" s="485"/>
    </row>
    <row r="26" spans="1:11" ht="26.85" customHeight="1" x14ac:dyDescent="0.2">
      <c r="A26" s="482" t="s">
        <v>14</v>
      </c>
      <c r="B26" s="483"/>
      <c r="C26" s="120">
        <f>C24+C25</f>
        <v>1914.1524882733354</v>
      </c>
      <c r="D26" s="383"/>
      <c r="E26" s="485"/>
      <c r="F26" s="485"/>
      <c r="G26" s="485"/>
      <c r="H26" s="485"/>
      <c r="I26" s="485"/>
      <c r="J26" s="485"/>
    </row>
    <row r="27" spans="1:11" ht="26.85" customHeight="1" x14ac:dyDescent="0.2">
      <c r="A27" s="482" t="s">
        <v>15</v>
      </c>
      <c r="B27" s="483"/>
      <c r="C27" s="120">
        <f>'Title III'!AO17</f>
        <v>1914</v>
      </c>
      <c r="D27" s="383"/>
      <c r="E27" s="485"/>
      <c r="F27" s="485"/>
      <c r="G27" s="485"/>
      <c r="H27" s="485"/>
      <c r="I27" s="485"/>
      <c r="J27" s="485"/>
    </row>
    <row r="28" spans="1:11" ht="24" customHeight="1" x14ac:dyDescent="0.2">
      <c r="A28" s="482" t="s">
        <v>16</v>
      </c>
      <c r="B28" s="483"/>
      <c r="C28" s="120">
        <f>C26-C27</f>
        <v>0.15248827333539339</v>
      </c>
      <c r="D28" s="383"/>
      <c r="E28" s="485"/>
      <c r="F28" s="485"/>
      <c r="G28" s="485"/>
      <c r="H28" s="485"/>
      <c r="I28" s="485"/>
      <c r="J28" s="485"/>
    </row>
    <row r="29" spans="1:11" x14ac:dyDescent="0.2">
      <c r="A29" s="60"/>
      <c r="B29" s="60"/>
      <c r="C29" s="384"/>
      <c r="D29" s="171"/>
      <c r="E29" s="485"/>
      <c r="F29" s="485"/>
      <c r="G29" s="485"/>
      <c r="H29" s="485"/>
      <c r="I29" s="485"/>
      <c r="J29" s="485"/>
    </row>
    <row r="30" spans="1:11" ht="12.75" customHeight="1" x14ac:dyDescent="0.2">
      <c r="A30" s="376">
        <v>45783</v>
      </c>
      <c r="E30" s="245"/>
      <c r="F30" s="245"/>
      <c r="G30" s="245"/>
      <c r="H30" s="245"/>
    </row>
    <row r="31" spans="1:11" ht="13.15" customHeight="1" x14ac:dyDescent="0.2">
      <c r="A31" s="481" t="s">
        <v>33</v>
      </c>
      <c r="B31" s="481"/>
      <c r="C31" s="481"/>
      <c r="D31" s="481"/>
      <c r="E31" s="481"/>
      <c r="F31" s="481"/>
      <c r="G31" s="481"/>
      <c r="H31" s="481"/>
      <c r="I31" s="481"/>
      <c r="J31" s="481"/>
      <c r="K31" s="481"/>
    </row>
    <row r="33" spans="4:4" x14ac:dyDescent="0.2">
      <c r="D33" s="9" t="s">
        <v>34</v>
      </c>
    </row>
    <row r="53" spans="1:7" hidden="1" x14ac:dyDescent="0.2"/>
    <row r="54" spans="1:7" hidden="1" x14ac:dyDescent="0.2">
      <c r="F54" s="169" t="s">
        <v>35</v>
      </c>
    </row>
    <row r="55" spans="1:7" hidden="1" x14ac:dyDescent="0.2">
      <c r="E55" s="171" t="s">
        <v>36</v>
      </c>
      <c r="F55" s="170">
        <v>0</v>
      </c>
      <c r="G55" s="373">
        <v>1</v>
      </c>
    </row>
    <row r="56" spans="1:7" hidden="1" x14ac:dyDescent="0.2">
      <c r="E56" s="171" t="s">
        <v>37</v>
      </c>
      <c r="F56" s="170">
        <v>0</v>
      </c>
      <c r="G56" s="373">
        <v>2</v>
      </c>
    </row>
    <row r="57" spans="1:7" hidden="1" x14ac:dyDescent="0.2">
      <c r="E57" s="171" t="s">
        <v>38</v>
      </c>
      <c r="F57" s="170">
        <v>11936.68</v>
      </c>
      <c r="G57" s="373">
        <v>3</v>
      </c>
    </row>
    <row r="58" spans="1:7" hidden="1" x14ac:dyDescent="0.2">
      <c r="A58" s="82">
        <v>1</v>
      </c>
      <c r="B58" s="82"/>
      <c r="C58" s="82" t="s">
        <v>39</v>
      </c>
      <c r="D58" s="171"/>
      <c r="E58" s="171" t="s">
        <v>40</v>
      </c>
      <c r="F58" s="170">
        <v>18952</v>
      </c>
      <c r="G58" s="373">
        <v>4</v>
      </c>
    </row>
    <row r="59" spans="1:7" hidden="1" x14ac:dyDescent="0.2">
      <c r="A59" s="82">
        <v>2</v>
      </c>
      <c r="B59" s="82"/>
      <c r="C59" s="82" t="s">
        <v>41</v>
      </c>
      <c r="D59" s="171"/>
      <c r="E59" s="171" t="s">
        <v>42</v>
      </c>
      <c r="F59" s="170">
        <v>29268.78</v>
      </c>
      <c r="G59" s="373">
        <v>5</v>
      </c>
    </row>
    <row r="60" spans="1:7" hidden="1" x14ac:dyDescent="0.2">
      <c r="A60" s="82">
        <v>3</v>
      </c>
      <c r="B60" s="82"/>
      <c r="C60" s="82" t="s">
        <v>43</v>
      </c>
      <c r="D60" s="171"/>
      <c r="E60" s="171" t="s">
        <v>44</v>
      </c>
      <c r="F60" s="170">
        <v>826</v>
      </c>
      <c r="G60" s="373">
        <v>6</v>
      </c>
    </row>
    <row r="61" spans="1:7" hidden="1" x14ac:dyDescent="0.2">
      <c r="A61" s="82">
        <v>4</v>
      </c>
      <c r="B61" s="82"/>
      <c r="C61" s="82" t="s">
        <v>45</v>
      </c>
      <c r="D61" s="171"/>
      <c r="E61" s="171" t="s">
        <v>46</v>
      </c>
      <c r="F61" s="170">
        <v>16133</v>
      </c>
      <c r="G61" s="373">
        <v>7</v>
      </c>
    </row>
    <row r="62" spans="1:7" hidden="1" x14ac:dyDescent="0.2">
      <c r="A62" s="82">
        <v>5</v>
      </c>
      <c r="B62" s="82"/>
      <c r="C62" s="82" t="s">
        <v>47</v>
      </c>
      <c r="D62" s="171"/>
      <c r="E62" s="171" t="s">
        <v>48</v>
      </c>
      <c r="F62" s="170">
        <v>0</v>
      </c>
      <c r="G62" s="373" t="s">
        <v>49</v>
      </c>
    </row>
    <row r="63" spans="1:7" hidden="1" x14ac:dyDescent="0.2">
      <c r="A63" s="82">
        <v>6</v>
      </c>
      <c r="B63" s="82"/>
      <c r="C63" s="82" t="s">
        <v>50</v>
      </c>
      <c r="D63" s="171"/>
      <c r="E63" s="171" t="s">
        <v>51</v>
      </c>
      <c r="F63" s="170">
        <v>0</v>
      </c>
      <c r="G63" s="373" t="s">
        <v>52</v>
      </c>
    </row>
    <row r="64" spans="1:7" hidden="1" x14ac:dyDescent="0.2">
      <c r="A64" s="82">
        <v>7</v>
      </c>
      <c r="B64" s="82"/>
      <c r="C64" s="82" t="s">
        <v>53</v>
      </c>
      <c r="D64" s="171"/>
      <c r="E64" s="171" t="s">
        <v>54</v>
      </c>
      <c r="F64" s="170">
        <v>0</v>
      </c>
      <c r="G64" s="373" t="s">
        <v>55</v>
      </c>
    </row>
    <row r="65" spans="1:7" hidden="1" x14ac:dyDescent="0.2">
      <c r="A65" s="141" t="s">
        <v>49</v>
      </c>
      <c r="B65" s="82"/>
      <c r="C65" s="82" t="s">
        <v>56</v>
      </c>
      <c r="D65" s="171"/>
      <c r="E65" s="171" t="s">
        <v>57</v>
      </c>
      <c r="F65" s="170">
        <v>0</v>
      </c>
      <c r="G65" s="373" t="s">
        <v>58</v>
      </c>
    </row>
    <row r="66" spans="1:7" hidden="1" x14ac:dyDescent="0.2">
      <c r="A66" s="141" t="s">
        <v>52</v>
      </c>
      <c r="B66" s="82"/>
      <c r="C66" s="82" t="s">
        <v>59</v>
      </c>
      <c r="D66" s="171"/>
      <c r="E66" s="171" t="s">
        <v>60</v>
      </c>
      <c r="F66" s="170">
        <v>0</v>
      </c>
      <c r="G66" s="373" t="s">
        <v>61</v>
      </c>
    </row>
    <row r="67" spans="1:7" hidden="1" x14ac:dyDescent="0.2">
      <c r="A67" s="141" t="s">
        <v>55</v>
      </c>
      <c r="B67" s="82"/>
      <c r="C67" s="82" t="s">
        <v>62</v>
      </c>
      <c r="D67" s="171"/>
      <c r="E67" s="171" t="s">
        <v>63</v>
      </c>
      <c r="F67" s="170">
        <v>0</v>
      </c>
      <c r="G67" s="373">
        <v>9</v>
      </c>
    </row>
    <row r="68" spans="1:7" hidden="1" x14ac:dyDescent="0.2">
      <c r="A68" s="141" t="s">
        <v>58</v>
      </c>
      <c r="B68" s="82"/>
      <c r="C68" s="82" t="s">
        <v>64</v>
      </c>
      <c r="D68" s="171"/>
      <c r="E68" s="171"/>
      <c r="F68" s="170">
        <v>8000</v>
      </c>
      <c r="G68" s="373">
        <v>10</v>
      </c>
    </row>
    <row r="69" spans="1:7" hidden="1" x14ac:dyDescent="0.2">
      <c r="A69" s="141" t="s">
        <v>61</v>
      </c>
      <c r="B69" s="82"/>
      <c r="C69" s="82" t="s">
        <v>65</v>
      </c>
      <c r="D69" s="171"/>
      <c r="E69" s="171"/>
      <c r="F69" s="170">
        <v>4462</v>
      </c>
      <c r="G69" s="373">
        <v>11</v>
      </c>
    </row>
    <row r="70" spans="1:7" hidden="1" x14ac:dyDescent="0.2">
      <c r="A70" s="82">
        <v>9</v>
      </c>
      <c r="B70" s="82"/>
      <c r="C70" s="82" t="s">
        <v>66</v>
      </c>
      <c r="D70" s="171"/>
      <c r="E70" s="171"/>
      <c r="F70" s="170">
        <v>99728</v>
      </c>
      <c r="G70" s="373">
        <v>12</v>
      </c>
    </row>
    <row r="71" spans="1:7" hidden="1" x14ac:dyDescent="0.2">
      <c r="A71" s="82">
        <v>10</v>
      </c>
      <c r="B71" s="82"/>
      <c r="C71" s="82" t="s">
        <v>67</v>
      </c>
      <c r="D71" s="171"/>
      <c r="E71" s="171"/>
      <c r="F71" s="170">
        <v>0</v>
      </c>
      <c r="G71" s="373">
        <v>13</v>
      </c>
    </row>
    <row r="72" spans="1:7" hidden="1" x14ac:dyDescent="0.2">
      <c r="A72" s="82">
        <v>11</v>
      </c>
      <c r="B72" s="82"/>
      <c r="C72" s="82" t="s">
        <v>68</v>
      </c>
      <c r="D72" s="171"/>
      <c r="E72" s="171"/>
      <c r="F72" s="170">
        <v>951</v>
      </c>
      <c r="G72" s="373">
        <v>14</v>
      </c>
    </row>
    <row r="73" spans="1:7" hidden="1" x14ac:dyDescent="0.2">
      <c r="A73" s="82">
        <v>12</v>
      </c>
      <c r="B73" s="82"/>
      <c r="C73" s="82" t="s">
        <v>69</v>
      </c>
      <c r="D73" s="171"/>
      <c r="E73" s="171"/>
      <c r="F73" s="170">
        <v>31349</v>
      </c>
      <c r="G73" s="373">
        <v>15</v>
      </c>
    </row>
    <row r="74" spans="1:7" hidden="1" x14ac:dyDescent="0.2">
      <c r="A74" s="82">
        <v>13</v>
      </c>
      <c r="B74" s="82"/>
      <c r="C74" s="82" t="s">
        <v>70</v>
      </c>
      <c r="D74" s="171"/>
      <c r="E74" s="171"/>
      <c r="F74" s="170">
        <v>7500</v>
      </c>
      <c r="G74" s="373">
        <v>16</v>
      </c>
    </row>
    <row r="75" spans="1:7" hidden="1" x14ac:dyDescent="0.2">
      <c r="A75" s="82">
        <v>14</v>
      </c>
      <c r="B75" s="82"/>
      <c r="C75" s="82" t="s">
        <v>71</v>
      </c>
      <c r="D75" s="171"/>
      <c r="E75" s="171"/>
      <c r="F75" s="170">
        <v>0</v>
      </c>
      <c r="G75" s="373" t="s">
        <v>72</v>
      </c>
    </row>
    <row r="76" spans="1:7" hidden="1" x14ac:dyDescent="0.2">
      <c r="A76" s="82">
        <v>15</v>
      </c>
      <c r="B76" s="82"/>
      <c r="C76" s="82" t="s">
        <v>73</v>
      </c>
      <c r="D76" s="171"/>
      <c r="E76" s="171"/>
      <c r="F76" s="170">
        <v>65000</v>
      </c>
      <c r="G76" s="373">
        <v>19</v>
      </c>
    </row>
    <row r="77" spans="1:7" hidden="1" x14ac:dyDescent="0.2">
      <c r="A77" s="82">
        <v>16</v>
      </c>
      <c r="B77" s="82"/>
      <c r="C77" s="82" t="s">
        <v>74</v>
      </c>
      <c r="D77" s="171"/>
      <c r="E77" s="171"/>
      <c r="F77" s="170">
        <v>0</v>
      </c>
      <c r="G77" s="373">
        <v>20</v>
      </c>
    </row>
    <row r="78" spans="1:7" hidden="1" x14ac:dyDescent="0.2">
      <c r="A78" s="385" t="s">
        <v>72</v>
      </c>
      <c r="B78" s="385"/>
      <c r="C78" s="82" t="s">
        <v>75</v>
      </c>
      <c r="D78" s="171"/>
      <c r="E78" s="171"/>
      <c r="F78" s="170">
        <v>0</v>
      </c>
      <c r="G78" s="372">
        <v>21</v>
      </c>
    </row>
    <row r="79" spans="1:7" hidden="1" x14ac:dyDescent="0.2">
      <c r="A79" s="82">
        <v>19</v>
      </c>
      <c r="B79" s="82"/>
      <c r="C79" s="82" t="s">
        <v>76</v>
      </c>
      <c r="D79" s="171"/>
      <c r="E79" s="171"/>
      <c r="F79" s="170">
        <v>0</v>
      </c>
      <c r="G79" s="374">
        <v>22</v>
      </c>
    </row>
    <row r="80" spans="1:7" hidden="1" x14ac:dyDescent="0.2">
      <c r="A80" s="82">
        <v>20</v>
      </c>
      <c r="B80" s="82"/>
      <c r="C80" s="82" t="s">
        <v>77</v>
      </c>
      <c r="D80" s="171"/>
      <c r="F80" s="47">
        <f>SUM(F55:F79)</f>
        <v>294106.45999999996</v>
      </c>
      <c r="G80" s="106"/>
    </row>
    <row r="81" spans="1:4" hidden="1" x14ac:dyDescent="0.2">
      <c r="A81" s="82">
        <v>21</v>
      </c>
      <c r="B81" s="82"/>
      <c r="C81" s="82" t="s">
        <v>78</v>
      </c>
      <c r="D81" s="171"/>
    </row>
    <row r="82" spans="1:4" hidden="1" x14ac:dyDescent="0.2">
      <c r="A82" s="82">
        <v>22</v>
      </c>
      <c r="B82" s="82"/>
      <c r="C82" s="82" t="s">
        <v>79</v>
      </c>
      <c r="D82" s="171"/>
    </row>
    <row r="83" spans="1:4" hidden="1" x14ac:dyDescent="0.2"/>
  </sheetData>
  <sheetProtection algorithmName="SHA-512" hashValue="E/y0/b3P50+nwqqLoGo6lDnVLu/D9igwrRwJVykCVDltaaLJwR7UW6tZhF+9nrnyTCkWPro2hDAmRcSyA8mnGQ==" saltValue="+8ewSx1vNelrC9q65laTNA==" spinCount="100000" sheet="1" objects="1" scenarios="1"/>
  <mergeCells count="29">
    <mergeCell ref="A24:B24"/>
    <mergeCell ref="A7:B7"/>
    <mergeCell ref="A9:B9"/>
    <mergeCell ref="A8:B8"/>
    <mergeCell ref="A10:J10"/>
    <mergeCell ref="A19:B19"/>
    <mergeCell ref="A11:B11"/>
    <mergeCell ref="A12:B12"/>
    <mergeCell ref="B1:E1"/>
    <mergeCell ref="A3:B3"/>
    <mergeCell ref="A4:B4"/>
    <mergeCell ref="A6:B6"/>
    <mergeCell ref="A5:B5"/>
    <mergeCell ref="A31:K31"/>
    <mergeCell ref="A13:B13"/>
    <mergeCell ref="A17:B17"/>
    <mergeCell ref="A18:B18"/>
    <mergeCell ref="A16:B16"/>
    <mergeCell ref="A15:B15"/>
    <mergeCell ref="A14:B14"/>
    <mergeCell ref="E22:J22"/>
    <mergeCell ref="E23:J29"/>
    <mergeCell ref="A20:B20"/>
    <mergeCell ref="A21:B21"/>
    <mergeCell ref="A27:B27"/>
    <mergeCell ref="A28:B28"/>
    <mergeCell ref="A25:B25"/>
    <mergeCell ref="A26:B26"/>
    <mergeCell ref="A23:B23"/>
  </mergeCells>
  <phoneticPr fontId="0" type="noConversion"/>
  <conditionalFormatting sqref="C21:I21">
    <cfRule type="cellIs" dxfId="46" priority="1" operator="greaterThan">
      <formula>0.25001*(C$13+C$15)</formula>
    </cfRule>
  </conditionalFormatting>
  <conditionalFormatting sqref="C9:J9">
    <cfRule type="cellIs" dxfId="45" priority="2" operator="greaterThan">
      <formula>0.1001*C$5</formula>
    </cfRule>
  </conditionalFormatting>
  <dataValidations count="2">
    <dataValidation type="list" allowBlank="1" showInputMessage="1" showErrorMessage="1" sqref="H1" xr:uid="{00000000-0002-0000-0000-000000000000}">
      <formula1>A57:A82</formula1>
    </dataValidation>
    <dataValidation type="list" allowBlank="1" showInputMessage="1" showErrorMessage="1" sqref="E2" xr:uid="{00000000-0002-0000-0000-000001000000}">
      <formula1>F54:F64</formula1>
    </dataValidation>
  </dataValidations>
  <pageMargins left="0.64" right="0.45" top="1.04" bottom="0.68" header="0.4" footer="0.5"/>
  <pageSetup scale="65" orientation="landscape" r:id="rId1"/>
  <headerFooter alignWithMargins="0">
    <oddHeader>&amp;C&amp;"Arial,Bold"&amp;12Area Plan Summary
Proposed Budget for October 1, 2025
 through September 30, 2026</oddHeader>
    <oddFooter>&amp;CPage &amp;P&amp;RArea Plan Budget FY'26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outlinePr summaryBelow="0" summaryRight="0"/>
    <pageSetUpPr autoPageBreaks="0" fitToPage="1"/>
  </sheetPr>
  <dimension ref="A1:K41"/>
  <sheetViews>
    <sheetView showOutlineSymbols="0" zoomScaleNormal="100" workbookViewId="0">
      <selection activeCell="A39" sqref="A39"/>
    </sheetView>
  </sheetViews>
  <sheetFormatPr defaultColWidth="9" defaultRowHeight="12.75" x14ac:dyDescent="0.2"/>
  <cols>
    <col min="1" max="1" width="10" style="148" customWidth="1"/>
    <col min="2" max="8" width="16.7109375" style="154" customWidth="1"/>
    <col min="9" max="9" width="9.140625" style="148" customWidth="1"/>
    <col min="10" max="16384" width="9" style="148"/>
  </cols>
  <sheetData>
    <row r="1" spans="1:11" ht="15.75" x14ac:dyDescent="0.25">
      <c r="A1" s="644" t="s">
        <v>290</v>
      </c>
      <c r="B1" s="644"/>
      <c r="C1" s="644"/>
      <c r="D1" s="644"/>
      <c r="E1" s="644"/>
      <c r="F1" s="644"/>
      <c r="G1" s="644"/>
      <c r="H1" s="644"/>
      <c r="I1" s="644"/>
      <c r="J1" s="143"/>
      <c r="K1" s="143"/>
    </row>
    <row r="2" spans="1:11" ht="15.75" x14ac:dyDescent="0.25">
      <c r="A2" s="649" t="s">
        <v>304</v>
      </c>
      <c r="B2" s="649"/>
      <c r="C2" s="649"/>
      <c r="D2" s="649"/>
      <c r="E2" s="649"/>
      <c r="F2" s="649"/>
      <c r="G2" s="649"/>
      <c r="H2" s="649"/>
      <c r="I2" s="649"/>
    </row>
    <row r="3" spans="1:11" ht="15.75" x14ac:dyDescent="0.25">
      <c r="A3" s="649" t="s">
        <v>312</v>
      </c>
      <c r="B3" s="649"/>
      <c r="C3" s="649"/>
      <c r="D3" s="649"/>
      <c r="E3" s="649"/>
      <c r="F3" s="649"/>
      <c r="G3" s="649"/>
      <c r="H3" s="649"/>
      <c r="I3" s="649"/>
    </row>
    <row r="4" spans="1:11" ht="15.4" customHeight="1" x14ac:dyDescent="0.2">
      <c r="A4"/>
      <c r="B4" s="206"/>
      <c r="C4" s="207"/>
      <c r="D4" s="206"/>
      <c r="E4" s="206"/>
      <c r="F4" s="206"/>
      <c r="G4" s="9"/>
      <c r="H4" s="9"/>
      <c r="I4"/>
    </row>
    <row r="5" spans="1:11" s="163" customFormat="1" ht="12.75" customHeight="1" x14ac:dyDescent="0.2">
      <c r="A5" s="657" t="s">
        <v>295</v>
      </c>
      <c r="B5" s="652" t="s">
        <v>17</v>
      </c>
      <c r="C5" s="654" t="s">
        <v>306</v>
      </c>
      <c r="D5" s="652" t="s">
        <v>19</v>
      </c>
      <c r="E5" s="654" t="s">
        <v>20</v>
      </c>
      <c r="F5" s="654" t="s">
        <v>307</v>
      </c>
      <c r="G5" s="654" t="s">
        <v>22</v>
      </c>
      <c r="H5" s="652" t="s">
        <v>197</v>
      </c>
      <c r="I5" s="657" t="s">
        <v>295</v>
      </c>
    </row>
    <row r="6" spans="1:11" ht="13.15" customHeight="1" thickBot="1" x14ac:dyDescent="0.25">
      <c r="A6" s="658"/>
      <c r="B6" s="653"/>
      <c r="C6" s="655"/>
      <c r="D6" s="653"/>
      <c r="E6" s="655"/>
      <c r="F6" s="655"/>
      <c r="G6" s="655"/>
      <c r="H6" s="653"/>
      <c r="I6" s="658"/>
    </row>
    <row r="7" spans="1:11" ht="23.25" customHeight="1" thickTop="1" x14ac:dyDescent="0.2">
      <c r="A7">
        <v>1</v>
      </c>
      <c r="B7" s="164">
        <v>16933.432000000001</v>
      </c>
      <c r="C7" s="164">
        <v>23845.392</v>
      </c>
      <c r="D7" s="164">
        <v>8635.3760000000002</v>
      </c>
      <c r="E7" s="164">
        <v>30442.160000000003</v>
      </c>
      <c r="F7" s="164">
        <v>7357.4400000000005</v>
      </c>
      <c r="G7" s="9">
        <v>20823.286279021497</v>
      </c>
      <c r="H7" s="164">
        <v>2309.0656122088662</v>
      </c>
      <c r="I7">
        <v>1</v>
      </c>
    </row>
    <row r="8" spans="1:11" x14ac:dyDescent="0.2">
      <c r="A8">
        <v>2</v>
      </c>
      <c r="B8" s="164">
        <v>21193.103999999999</v>
      </c>
      <c r="C8" s="164">
        <v>29731.56</v>
      </c>
      <c r="D8" s="164">
        <v>10768.880000000001</v>
      </c>
      <c r="E8" s="164">
        <v>37964.904000000002</v>
      </c>
      <c r="F8" s="164">
        <v>9223.7199999999993</v>
      </c>
      <c r="G8" s="9">
        <v>31219.179428910302</v>
      </c>
      <c r="H8" s="164">
        <v>2266.5585177633207</v>
      </c>
      <c r="I8">
        <v>2</v>
      </c>
    </row>
    <row r="9" spans="1:11" x14ac:dyDescent="0.2">
      <c r="A9">
        <v>3</v>
      </c>
      <c r="B9" s="164">
        <v>32381.175999999999</v>
      </c>
      <c r="C9" s="164">
        <v>45487</v>
      </c>
      <c r="D9" s="164">
        <v>16474.423999999999</v>
      </c>
      <c r="E9" s="164">
        <v>58079.792000000001</v>
      </c>
      <c r="F9" s="164">
        <v>14082.664000000001</v>
      </c>
      <c r="G9" s="9">
        <v>26022.80785292809</v>
      </c>
      <c r="H9" s="164">
        <v>3728.9660555148625</v>
      </c>
      <c r="I9">
        <v>3</v>
      </c>
    </row>
    <row r="10" spans="1:11" x14ac:dyDescent="0.2">
      <c r="A10">
        <v>4</v>
      </c>
      <c r="B10" s="164">
        <v>15256.880000000001</v>
      </c>
      <c r="C10" s="164">
        <v>21400.336000000003</v>
      </c>
      <c r="D10" s="164">
        <v>7751.1200000000008</v>
      </c>
      <c r="E10" s="164">
        <v>27326.632000000001</v>
      </c>
      <c r="F10" s="164">
        <v>6637.1200000000008</v>
      </c>
      <c r="G10" s="9">
        <v>15912.664514751668</v>
      </c>
      <c r="H10" s="164">
        <v>2647.4874795253209</v>
      </c>
      <c r="I10">
        <v>4</v>
      </c>
    </row>
    <row r="11" spans="1:11" x14ac:dyDescent="0.2">
      <c r="A11">
        <v>5</v>
      </c>
      <c r="B11" s="164">
        <v>29901.232000000004</v>
      </c>
      <c r="C11" s="164">
        <v>41844.191999999995</v>
      </c>
      <c r="D11" s="164">
        <v>15157.208000000001</v>
      </c>
      <c r="E11" s="164">
        <v>53440.040000000008</v>
      </c>
      <c r="F11" s="164">
        <v>13021.216</v>
      </c>
      <c r="G11" s="9">
        <v>15358.03988020756</v>
      </c>
      <c r="H11" s="164">
        <v>5332.7914267102369</v>
      </c>
      <c r="I11">
        <v>5</v>
      </c>
    </row>
    <row r="12" spans="1:11" ht="12.75" customHeight="1" x14ac:dyDescent="0.2">
      <c r="A12">
        <v>6</v>
      </c>
      <c r="B12" s="164">
        <v>28792.031999999999</v>
      </c>
      <c r="C12" s="164">
        <v>40492.696000000004</v>
      </c>
      <c r="D12" s="164">
        <v>14663.960000000001</v>
      </c>
      <c r="E12" s="164">
        <v>51698.28</v>
      </c>
      <c r="F12" s="164">
        <v>12515.008000000002</v>
      </c>
      <c r="G12" s="9">
        <v>16492.714132542624</v>
      </c>
      <c r="H12" s="164">
        <v>4382.1039105531427</v>
      </c>
      <c r="I12">
        <v>6</v>
      </c>
    </row>
    <row r="13" spans="1:11" x14ac:dyDescent="0.2">
      <c r="A13">
        <v>7</v>
      </c>
      <c r="B13" s="164">
        <v>22986.720000000001</v>
      </c>
      <c r="C13" s="164">
        <v>32118.103999999999</v>
      </c>
      <c r="D13" s="164">
        <v>11634.472000000002</v>
      </c>
      <c r="E13" s="164">
        <v>41022.008000000002</v>
      </c>
      <c r="F13" s="164">
        <v>10015.016</v>
      </c>
      <c r="G13" s="9">
        <v>14455.75</v>
      </c>
      <c r="H13" s="164">
        <v>3533.5969098901455</v>
      </c>
      <c r="I13">
        <v>7</v>
      </c>
    </row>
    <row r="14" spans="1:11" x14ac:dyDescent="0.2">
      <c r="A14" s="200" t="s">
        <v>49</v>
      </c>
      <c r="B14" s="164">
        <v>8816.0239999999994</v>
      </c>
      <c r="C14" s="164">
        <v>12311.392</v>
      </c>
      <c r="D14" s="164">
        <v>4460.384</v>
      </c>
      <c r="E14" s="164">
        <v>15727.727999999999</v>
      </c>
      <c r="F14" s="164">
        <v>3841.3040000000001</v>
      </c>
      <c r="G14" s="9">
        <v>14455.75</v>
      </c>
      <c r="H14" s="164">
        <v>0</v>
      </c>
      <c r="I14" s="200" t="s">
        <v>49</v>
      </c>
    </row>
    <row r="15" spans="1:11" x14ac:dyDescent="0.2">
      <c r="A15" s="200" t="s">
        <v>52</v>
      </c>
      <c r="B15" s="164">
        <v>12675.44</v>
      </c>
      <c r="C15" s="164">
        <v>17693.288</v>
      </c>
      <c r="D15" s="164">
        <v>6409.9120000000003</v>
      </c>
      <c r="E15" s="164">
        <v>22599.392</v>
      </c>
      <c r="F15" s="164">
        <v>5522.768</v>
      </c>
      <c r="G15" s="9">
        <v>14455.75</v>
      </c>
      <c r="H15" s="164">
        <v>0</v>
      </c>
      <c r="I15" s="200" t="s">
        <v>52</v>
      </c>
    </row>
    <row r="16" spans="1:11" x14ac:dyDescent="0.2">
      <c r="A16" s="200" t="s">
        <v>55</v>
      </c>
      <c r="B16" s="164">
        <v>53000</v>
      </c>
      <c r="C16" s="164">
        <v>73397.279999999999</v>
      </c>
      <c r="D16" s="164">
        <v>26599.455999999998</v>
      </c>
      <c r="E16" s="164">
        <v>93796.784</v>
      </c>
      <c r="F16" s="164">
        <v>23179.272000000001</v>
      </c>
      <c r="G16" s="9">
        <v>69547.229173610074</v>
      </c>
      <c r="H16" s="164">
        <v>13137.605230239635</v>
      </c>
      <c r="I16" s="200" t="s">
        <v>55</v>
      </c>
    </row>
    <row r="17" spans="1:9" x14ac:dyDescent="0.2">
      <c r="A17" s="200" t="s">
        <v>58</v>
      </c>
      <c r="B17" s="164">
        <v>11356.184000000001</v>
      </c>
      <c r="C17" s="164">
        <v>15625.024000000001</v>
      </c>
      <c r="D17" s="164">
        <v>5664.3360000000002</v>
      </c>
      <c r="E17" s="164">
        <v>19975.152000000002</v>
      </c>
      <c r="F17" s="164">
        <v>4976.0079999999998</v>
      </c>
      <c r="G17" s="9">
        <v>14455.75</v>
      </c>
      <c r="H17" s="164">
        <v>0</v>
      </c>
      <c r="I17" s="200" t="s">
        <v>58</v>
      </c>
    </row>
    <row r="18" spans="1:9" x14ac:dyDescent="0.2">
      <c r="A18" s="200" t="s">
        <v>61</v>
      </c>
      <c r="B18" s="164">
        <v>19060.975999999999</v>
      </c>
      <c r="C18" s="164">
        <v>26284.520000000004</v>
      </c>
      <c r="D18" s="164">
        <v>9528.0159999999996</v>
      </c>
      <c r="E18" s="164">
        <v>33597.919999999998</v>
      </c>
      <c r="F18" s="164">
        <v>8345.6239999999998</v>
      </c>
      <c r="G18" s="9">
        <v>14455.75</v>
      </c>
      <c r="H18" s="164">
        <v>3443.6780562553381</v>
      </c>
      <c r="I18" s="200" t="s">
        <v>61</v>
      </c>
    </row>
    <row r="19" spans="1:9" x14ac:dyDescent="0.2">
      <c r="A19">
        <v>9</v>
      </c>
      <c r="B19" s="164">
        <v>16560.296000000002</v>
      </c>
      <c r="C19" s="164">
        <v>23194.664000000004</v>
      </c>
      <c r="D19" s="164">
        <v>8400.880000000001</v>
      </c>
      <c r="E19" s="164">
        <v>29620.144</v>
      </c>
      <c r="F19" s="164">
        <v>7209.2800000000007</v>
      </c>
      <c r="G19" s="9">
        <v>16352.764224759081</v>
      </c>
      <c r="H19" s="164">
        <v>2689.9945739708664</v>
      </c>
      <c r="I19">
        <v>9</v>
      </c>
    </row>
    <row r="20" spans="1:9" x14ac:dyDescent="0.2">
      <c r="A20">
        <v>10</v>
      </c>
      <c r="B20" s="164">
        <v>23131.480000000003</v>
      </c>
      <c r="C20" s="164">
        <v>32223.544000000002</v>
      </c>
      <c r="D20" s="164">
        <v>11674.632000000001</v>
      </c>
      <c r="E20" s="164">
        <v>41164.728000000003</v>
      </c>
      <c r="F20" s="164">
        <v>10090.536</v>
      </c>
      <c r="G20" s="9">
        <v>15553.564751371387</v>
      </c>
      <c r="H20" s="164">
        <v>3714.2520612837125</v>
      </c>
      <c r="I20">
        <v>10</v>
      </c>
    </row>
    <row r="21" spans="1:9" x14ac:dyDescent="0.2">
      <c r="A21">
        <v>11</v>
      </c>
      <c r="B21" s="164">
        <v>23334.912</v>
      </c>
      <c r="C21" s="164">
        <v>32807.063999999998</v>
      </c>
      <c r="D21" s="164">
        <v>11881.344000000001</v>
      </c>
      <c r="E21" s="164">
        <v>41888.248000000007</v>
      </c>
      <c r="F21" s="164">
        <v>10149.256000000001</v>
      </c>
      <c r="G21" s="9">
        <v>14455.75</v>
      </c>
      <c r="H21" s="164">
        <v>4251.3128507206957</v>
      </c>
      <c r="I21">
        <v>11</v>
      </c>
    </row>
    <row r="22" spans="1:9" ht="12.75" customHeight="1" x14ac:dyDescent="0.2">
      <c r="A22">
        <v>12</v>
      </c>
      <c r="B22" s="164">
        <v>45553.688000000002</v>
      </c>
      <c r="C22" s="164">
        <v>63753.072</v>
      </c>
      <c r="D22" s="164">
        <v>23093.464</v>
      </c>
      <c r="E22" s="164">
        <v>81419.207999999999</v>
      </c>
      <c r="F22" s="164">
        <v>19831.856</v>
      </c>
      <c r="G22" s="9">
        <v>14455.75</v>
      </c>
      <c r="H22" s="164">
        <v>3630.0553165165757</v>
      </c>
      <c r="I22">
        <v>12</v>
      </c>
    </row>
    <row r="23" spans="1:9" x14ac:dyDescent="0.2">
      <c r="A23">
        <v>13</v>
      </c>
      <c r="B23" s="164">
        <v>18849.52</v>
      </c>
      <c r="C23" s="164">
        <v>26566.2</v>
      </c>
      <c r="D23" s="164">
        <v>9619.92</v>
      </c>
      <c r="E23" s="164">
        <v>33914.951999999997</v>
      </c>
      <c r="F23" s="164">
        <v>8188.1360000000004</v>
      </c>
      <c r="G23" s="9">
        <v>14455.75</v>
      </c>
      <c r="H23" s="164">
        <v>2445.578780908982</v>
      </c>
      <c r="I23">
        <v>13</v>
      </c>
    </row>
    <row r="24" spans="1:9" x14ac:dyDescent="0.2">
      <c r="A24">
        <v>14</v>
      </c>
      <c r="B24" s="164">
        <v>22777.488000000001</v>
      </c>
      <c r="C24" s="164">
        <v>32018.576000000001</v>
      </c>
      <c r="D24" s="164">
        <v>11595.328000000001</v>
      </c>
      <c r="E24" s="164">
        <v>40879.968000000001</v>
      </c>
      <c r="F24" s="164">
        <v>9900.92</v>
      </c>
      <c r="G24" s="9">
        <v>14455.75</v>
      </c>
      <c r="H24" s="164">
        <v>2421.8729013143507</v>
      </c>
      <c r="I24">
        <v>14</v>
      </c>
    </row>
    <row r="25" spans="1:9" x14ac:dyDescent="0.2">
      <c r="A25">
        <v>15</v>
      </c>
      <c r="B25" s="164">
        <v>79773.335999999996</v>
      </c>
      <c r="C25" s="164">
        <v>111174.25600000001</v>
      </c>
      <c r="D25" s="164">
        <v>40278.432000000001</v>
      </c>
      <c r="E25" s="164">
        <v>142017.74400000001</v>
      </c>
      <c r="F25" s="164">
        <v>34793.671999999999</v>
      </c>
      <c r="G25" s="9">
        <v>14455.75</v>
      </c>
      <c r="H25" s="164">
        <v>10327.375024061785</v>
      </c>
      <c r="I25">
        <v>15</v>
      </c>
    </row>
    <row r="26" spans="1:9" x14ac:dyDescent="0.2">
      <c r="A26">
        <v>16</v>
      </c>
      <c r="B26" s="164">
        <v>20623.832000000002</v>
      </c>
      <c r="C26" s="164">
        <v>28688.152000000002</v>
      </c>
      <c r="D26" s="164">
        <v>10394.008</v>
      </c>
      <c r="E26" s="164">
        <v>36650.576000000001</v>
      </c>
      <c r="F26" s="164">
        <v>8999.880000000001</v>
      </c>
      <c r="G26" s="9">
        <v>14455.75</v>
      </c>
      <c r="H26" s="164">
        <v>3191.9052660778793</v>
      </c>
      <c r="I26">
        <v>16</v>
      </c>
    </row>
    <row r="27" spans="1:9" x14ac:dyDescent="0.2">
      <c r="A27" s="200" t="s">
        <v>72</v>
      </c>
      <c r="B27" s="164">
        <v>27304.311999999998</v>
      </c>
      <c r="C27" s="164">
        <v>38340.103999999999</v>
      </c>
      <c r="D27" s="164">
        <v>13885.144</v>
      </c>
      <c r="E27" s="164">
        <v>48954.44</v>
      </c>
      <c r="F27" s="164">
        <v>11873.816000000001</v>
      </c>
      <c r="G27" s="9">
        <v>30799.554705411414</v>
      </c>
      <c r="H27" s="164">
        <v>15429.502102456701</v>
      </c>
      <c r="I27" s="200" t="s">
        <v>72</v>
      </c>
    </row>
    <row r="28" spans="1:9" x14ac:dyDescent="0.2">
      <c r="A28">
        <v>19</v>
      </c>
      <c r="B28" s="164">
        <v>22527.256000000001</v>
      </c>
      <c r="C28" s="164">
        <v>31663.704000000002</v>
      </c>
      <c r="D28" s="164">
        <v>11466.784</v>
      </c>
      <c r="E28" s="164">
        <v>40426.584000000003</v>
      </c>
      <c r="F28" s="164">
        <v>9793.4079999999994</v>
      </c>
      <c r="G28" s="9">
        <v>14455.75</v>
      </c>
      <c r="H28" s="164">
        <v>2877.1892783560552</v>
      </c>
      <c r="I28">
        <v>19</v>
      </c>
    </row>
    <row r="29" spans="1:9" ht="12" customHeight="1" x14ac:dyDescent="0.2">
      <c r="A29">
        <v>20</v>
      </c>
      <c r="B29" s="164">
        <v>81581.967999999993</v>
      </c>
      <c r="C29" s="164">
        <v>114344.95999999999</v>
      </c>
      <c r="D29" s="164">
        <v>41416.152000000002</v>
      </c>
      <c r="E29" s="164">
        <v>146018.64799999999</v>
      </c>
      <c r="F29" s="164">
        <v>35505.808000000005</v>
      </c>
      <c r="G29" s="9">
        <v>30211.180093105999</v>
      </c>
      <c r="H29" s="164">
        <v>2.4133887907502468E-3</v>
      </c>
      <c r="I29">
        <v>20</v>
      </c>
    </row>
    <row r="30" spans="1:9" x14ac:dyDescent="0.2">
      <c r="A30">
        <v>21</v>
      </c>
      <c r="B30" s="164">
        <v>41086.104000000007</v>
      </c>
      <c r="C30" s="164">
        <v>57323.816000000006</v>
      </c>
      <c r="D30" s="164">
        <v>20766.752</v>
      </c>
      <c r="E30" s="164">
        <v>73222.328000000009</v>
      </c>
      <c r="F30" s="164">
        <v>17908.919999999998</v>
      </c>
      <c r="G30" s="9">
        <v>25687.783073684215</v>
      </c>
      <c r="H30" s="164">
        <v>0</v>
      </c>
      <c r="I30">
        <v>21</v>
      </c>
    </row>
    <row r="31" spans="1:9" ht="12" customHeight="1" x14ac:dyDescent="0.2">
      <c r="A31">
        <v>22</v>
      </c>
      <c r="B31" s="164">
        <v>11108.984</v>
      </c>
      <c r="C31" s="164">
        <v>15689.352000000001</v>
      </c>
      <c r="D31" s="164">
        <v>5680.5680000000002</v>
      </c>
      <c r="E31" s="164">
        <v>20026.599999999999</v>
      </c>
      <c r="F31" s="164">
        <v>4820.24</v>
      </c>
      <c r="G31" s="9">
        <v>14456.4375</v>
      </c>
      <c r="H31" s="164">
        <v>1861.1062322827365</v>
      </c>
      <c r="I31">
        <v>22</v>
      </c>
    </row>
    <row r="32" spans="1:9" ht="26.25" customHeight="1" x14ac:dyDescent="0.2">
      <c r="A32" s="201" t="s">
        <v>302</v>
      </c>
      <c r="B32" s="202">
        <f t="shared" ref="B32:G32" si="0">SUM(B7:B31)</f>
        <v>706566.37600000028</v>
      </c>
      <c r="C32" s="202">
        <f t="shared" si="0"/>
        <v>988018.24800000002</v>
      </c>
      <c r="D32" s="202">
        <f t="shared" si="0"/>
        <v>357900.95199999999</v>
      </c>
      <c r="E32" s="202">
        <f t="shared" si="0"/>
        <v>1261874.9600000002</v>
      </c>
      <c r="F32" s="202">
        <f t="shared" si="0"/>
        <v>307782.88799999998</v>
      </c>
      <c r="G32" s="202">
        <f t="shared" si="0"/>
        <v>501906.20561030391</v>
      </c>
      <c r="H32" s="195">
        <f>SUM(H7:H31)</f>
        <v>93622</v>
      </c>
      <c r="I32" s="201" t="s">
        <v>302</v>
      </c>
    </row>
    <row r="33" spans="1:9" ht="9" customHeight="1" thickBot="1" x14ac:dyDescent="0.25">
      <c r="A33" s="203"/>
      <c r="B33" s="204" t="s">
        <v>313</v>
      </c>
      <c r="C33" s="204"/>
      <c r="D33" s="204"/>
      <c r="E33" s="204"/>
      <c r="F33" s="204"/>
      <c r="G33" s="204"/>
      <c r="H33" s="204"/>
      <c r="I33" s="203"/>
    </row>
    <row r="34" spans="1:9" ht="21" customHeight="1" thickTop="1" x14ac:dyDescent="0.2">
      <c r="A34" s="646" t="s">
        <v>308</v>
      </c>
      <c r="B34" s="646"/>
      <c r="C34" s="646"/>
      <c r="D34" s="646"/>
      <c r="E34" s="646"/>
      <c r="F34" s="646"/>
      <c r="G34" s="646"/>
      <c r="H34" s="646"/>
      <c r="I34" s="646"/>
    </row>
    <row r="35" spans="1:9" ht="18" customHeight="1" x14ac:dyDescent="0.2">
      <c r="A35" s="647" t="s">
        <v>309</v>
      </c>
      <c r="B35" s="647"/>
      <c r="C35" s="647"/>
      <c r="D35" s="647"/>
      <c r="E35" s="647"/>
      <c r="F35" s="647"/>
      <c r="G35" s="647"/>
      <c r="H35" s="647"/>
      <c r="I35" s="647"/>
    </row>
    <row r="36" spans="1:9" ht="17.25" customHeight="1" x14ac:dyDescent="0.2">
      <c r="A36" s="648" t="s">
        <v>310</v>
      </c>
      <c r="B36" s="648"/>
      <c r="C36" s="648"/>
      <c r="D36" s="648"/>
      <c r="E36" s="648"/>
      <c r="F36" s="648"/>
      <c r="G36" s="648"/>
      <c r="H36" s="648"/>
      <c r="I36" s="648"/>
    </row>
    <row r="37" spans="1:9" x14ac:dyDescent="0.2">
      <c r="B37" s="164"/>
      <c r="C37" s="164"/>
      <c r="D37" s="164"/>
      <c r="E37" s="164"/>
      <c r="F37" s="164"/>
      <c r="G37" s="164"/>
      <c r="H37" s="164"/>
    </row>
    <row r="38" spans="1:9" x14ac:dyDescent="0.2">
      <c r="A38" s="208" t="s">
        <v>303</v>
      </c>
      <c r="B38" s="164"/>
      <c r="C38" s="164"/>
      <c r="D38" s="164"/>
      <c r="E38" s="164"/>
      <c r="F38" s="164"/>
      <c r="G38" s="164"/>
      <c r="H38" s="164"/>
    </row>
    <row r="39" spans="1:9" x14ac:dyDescent="0.2">
      <c r="A39" s="209">
        <v>45797</v>
      </c>
      <c r="B39" s="164"/>
      <c r="C39" s="164"/>
      <c r="D39" s="164"/>
      <c r="E39" s="164"/>
      <c r="F39" s="164"/>
      <c r="G39" s="164"/>
      <c r="H39" s="164"/>
    </row>
    <row r="40" spans="1:9" x14ac:dyDescent="0.2">
      <c r="B40" s="164"/>
      <c r="C40" s="164"/>
      <c r="D40" s="164"/>
      <c r="E40" s="164"/>
      <c r="F40" s="164"/>
      <c r="G40" s="164"/>
      <c r="H40" s="164"/>
    </row>
    <row r="41" spans="1:9" x14ac:dyDescent="0.2">
      <c r="B41" s="164"/>
      <c r="C41" s="164"/>
      <c r="D41" s="164"/>
      <c r="E41" s="164"/>
      <c r="F41" s="164"/>
      <c r="G41" s="164"/>
      <c r="H41" s="164"/>
    </row>
  </sheetData>
  <sheetProtection algorithmName="SHA-512" hashValue="5kNys/ysQIvGTo/HK6RLC6eP+Is0cHq58p6TwO7O5r85yJgg3oQZ99Yh9w+1n2CXyCta9XWhxc2/K/e20r7Tdw==" saltValue="VYit8xrEGuTG6e6Qnw4eBA==" spinCount="100000" sheet="1" objects="1" scenarios="1"/>
  <mergeCells count="15">
    <mergeCell ref="A34:I34"/>
    <mergeCell ref="A35:I35"/>
    <mergeCell ref="A36:I36"/>
    <mergeCell ref="A1:I1"/>
    <mergeCell ref="A2:I2"/>
    <mergeCell ref="A3:I3"/>
    <mergeCell ref="A5:A6"/>
    <mergeCell ref="B5:B6"/>
    <mergeCell ref="C5:C6"/>
    <mergeCell ref="D5:D6"/>
    <mergeCell ref="E5:E6"/>
    <mergeCell ref="F5:F6"/>
    <mergeCell ref="G5:G6"/>
    <mergeCell ref="H5:H6"/>
    <mergeCell ref="I5:I6"/>
  </mergeCells>
  <pageMargins left="0.44" right="0.4" top="0.68" bottom="0.52" header="0.32" footer="0.33333333333333298"/>
  <pageSetup scale="97"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J40"/>
  <sheetViews>
    <sheetView zoomScaleNormal="100" workbookViewId="0">
      <selection activeCell="E24" sqref="E24"/>
    </sheetView>
  </sheetViews>
  <sheetFormatPr defaultColWidth="9" defaultRowHeight="12.75" x14ac:dyDescent="0.2"/>
  <cols>
    <col min="1" max="1" width="9.5703125" style="148" customWidth="1"/>
    <col min="2" max="5" width="18.7109375" style="161" customWidth="1"/>
    <col min="6" max="16384" width="9" style="148"/>
  </cols>
  <sheetData>
    <row r="1" spans="1:10" ht="15.75" x14ac:dyDescent="0.25">
      <c r="A1" s="644" t="s">
        <v>290</v>
      </c>
      <c r="B1" s="644"/>
      <c r="C1" s="644"/>
      <c r="D1" s="644"/>
      <c r="E1" s="644"/>
      <c r="F1" s="143"/>
      <c r="G1" s="143"/>
      <c r="H1" s="143"/>
      <c r="I1" s="143"/>
      <c r="J1" s="143"/>
    </row>
    <row r="2" spans="1:10" ht="15.75" x14ac:dyDescent="0.25">
      <c r="A2" s="659" t="s">
        <v>314</v>
      </c>
      <c r="B2" s="659"/>
      <c r="C2" s="659"/>
      <c r="D2" s="659"/>
      <c r="E2" s="659"/>
    </row>
    <row r="3" spans="1:10" ht="15.75" x14ac:dyDescent="0.25">
      <c r="A3" s="659" t="s">
        <v>315</v>
      </c>
      <c r="B3" s="659"/>
      <c r="C3" s="659"/>
      <c r="D3" s="659"/>
      <c r="E3" s="659"/>
    </row>
    <row r="4" spans="1:10" ht="15.75" x14ac:dyDescent="0.25">
      <c r="A4" s="660" t="s">
        <v>316</v>
      </c>
      <c r="B4" s="660"/>
      <c r="C4" s="660"/>
      <c r="D4" s="660"/>
      <c r="E4" s="660"/>
    </row>
    <row r="5" spans="1:10" ht="21.75" customHeight="1" x14ac:dyDescent="0.2">
      <c r="A5" s="661" t="s">
        <v>317</v>
      </c>
      <c r="B5" s="661"/>
      <c r="C5" s="661"/>
      <c r="D5" s="661"/>
      <c r="E5" s="661"/>
    </row>
    <row r="6" spans="1:10" s="162" customFormat="1" ht="33.4" customHeight="1" x14ac:dyDescent="0.2">
      <c r="A6" s="210" t="s">
        <v>295</v>
      </c>
      <c r="B6" s="211" t="s">
        <v>318</v>
      </c>
      <c r="C6" s="211" t="s">
        <v>319</v>
      </c>
      <c r="D6" s="211" t="s">
        <v>320</v>
      </c>
      <c r="E6" s="211" t="s">
        <v>321</v>
      </c>
    </row>
    <row r="7" spans="1:10" s="162" customFormat="1" ht="15" customHeight="1" x14ac:dyDescent="0.25">
      <c r="A7" s="94">
        <v>1</v>
      </c>
      <c r="B7" s="212">
        <v>11070</v>
      </c>
      <c r="C7" s="212">
        <v>90939</v>
      </c>
      <c r="D7" s="213">
        <v>102009</v>
      </c>
      <c r="E7" s="100">
        <v>43999.529371207536</v>
      </c>
    </row>
    <row r="8" spans="1:10" s="163" customFormat="1" ht="16.5" customHeight="1" x14ac:dyDescent="0.25">
      <c r="A8" s="93">
        <v>2</v>
      </c>
      <c r="B8" s="214">
        <v>9120</v>
      </c>
      <c r="C8" s="214">
        <v>114738</v>
      </c>
      <c r="D8" s="100">
        <v>123858</v>
      </c>
      <c r="E8" s="100">
        <v>53423.655842710185</v>
      </c>
    </row>
    <row r="9" spans="1:10" ht="16.5" customHeight="1" x14ac:dyDescent="0.25">
      <c r="A9" s="93">
        <v>3</v>
      </c>
      <c r="B9" s="214">
        <v>21813</v>
      </c>
      <c r="C9" s="214">
        <v>147757</v>
      </c>
      <c r="D9" s="100">
        <v>169570</v>
      </c>
      <c r="E9" s="100">
        <v>73140.607156973041</v>
      </c>
    </row>
    <row r="10" spans="1:10" ht="15" customHeight="1" x14ac:dyDescent="0.25">
      <c r="A10" s="93">
        <v>4</v>
      </c>
      <c r="B10" s="214">
        <v>5091</v>
      </c>
      <c r="C10" s="214">
        <v>68911</v>
      </c>
      <c r="D10" s="100">
        <v>74002</v>
      </c>
      <c r="E10" s="100">
        <v>31919.273520258997</v>
      </c>
    </row>
    <row r="11" spans="1:10" ht="15" customHeight="1" x14ac:dyDescent="0.25">
      <c r="A11" s="93">
        <v>5</v>
      </c>
      <c r="B11" s="214">
        <v>5113</v>
      </c>
      <c r="C11" s="214">
        <v>107843</v>
      </c>
      <c r="D11" s="100">
        <v>112956</v>
      </c>
      <c r="E11" s="100">
        <v>48721.297529179959</v>
      </c>
    </row>
    <row r="12" spans="1:10" ht="15" customHeight="1" x14ac:dyDescent="0.25">
      <c r="A12" s="93">
        <v>6</v>
      </c>
      <c r="B12" s="214">
        <v>3363</v>
      </c>
      <c r="C12" s="214">
        <v>128022</v>
      </c>
      <c r="D12" s="100">
        <v>131385</v>
      </c>
      <c r="E12" s="100">
        <v>56670.275823075441</v>
      </c>
    </row>
    <row r="13" spans="1:10" ht="15" customHeight="1" x14ac:dyDescent="0.25">
      <c r="A13" s="93">
        <v>7</v>
      </c>
      <c r="B13" s="214">
        <v>26148</v>
      </c>
      <c r="C13" s="214">
        <v>69541</v>
      </c>
      <c r="D13" s="100">
        <v>95689</v>
      </c>
      <c r="E13" s="100">
        <v>41273.524551769726</v>
      </c>
    </row>
    <row r="14" spans="1:10" ht="15" customHeight="1" x14ac:dyDescent="0.25">
      <c r="A14" s="93" t="s">
        <v>49</v>
      </c>
      <c r="B14" s="214">
        <v>11100</v>
      </c>
      <c r="C14" s="214">
        <v>35570</v>
      </c>
      <c r="D14" s="100">
        <v>46670</v>
      </c>
      <c r="E14" s="100">
        <v>20130.165335943453</v>
      </c>
    </row>
    <row r="15" spans="1:10" ht="15" customHeight="1" x14ac:dyDescent="0.25">
      <c r="A15" s="93" t="s">
        <v>52</v>
      </c>
      <c r="B15" s="214">
        <v>17167</v>
      </c>
      <c r="C15" s="214">
        <v>87033</v>
      </c>
      <c r="D15" s="100">
        <v>104200</v>
      </c>
      <c r="E15" s="100">
        <v>44944.573130604411</v>
      </c>
    </row>
    <row r="16" spans="1:10" ht="15" customHeight="1" x14ac:dyDescent="0.25">
      <c r="A16" s="93" t="s">
        <v>55</v>
      </c>
      <c r="B16" s="214">
        <v>174501</v>
      </c>
      <c r="C16" s="214">
        <v>302532</v>
      </c>
      <c r="D16" s="100">
        <v>477033</v>
      </c>
      <c r="E16" s="100">
        <v>205758.58497324007</v>
      </c>
    </row>
    <row r="17" spans="1:5" ht="15" customHeight="1" x14ac:dyDescent="0.25">
      <c r="A17" s="93" t="s">
        <v>58</v>
      </c>
      <c r="B17" s="214">
        <v>89614</v>
      </c>
      <c r="C17" s="214">
        <v>62884</v>
      </c>
      <c r="D17" s="100">
        <v>152498</v>
      </c>
      <c r="E17" s="100">
        <v>65776.943505478994</v>
      </c>
    </row>
    <row r="18" spans="1:5" ht="15" customHeight="1" x14ac:dyDescent="0.25">
      <c r="A18" s="93" t="s">
        <v>61</v>
      </c>
      <c r="B18" s="214">
        <v>32190</v>
      </c>
      <c r="C18" s="214">
        <v>37248</v>
      </c>
      <c r="D18" s="100">
        <v>69438</v>
      </c>
      <c r="E18" s="100">
        <v>29950.683963943466</v>
      </c>
    </row>
    <row r="19" spans="1:5" ht="15" customHeight="1" x14ac:dyDescent="0.25">
      <c r="A19" s="93">
        <v>9</v>
      </c>
      <c r="B19" s="214">
        <v>18938</v>
      </c>
      <c r="C19" s="214">
        <v>37487</v>
      </c>
      <c r="D19" s="100">
        <v>56425</v>
      </c>
      <c r="E19" s="100">
        <v>24337.788281135836</v>
      </c>
    </row>
    <row r="20" spans="1:5" ht="15" customHeight="1" x14ac:dyDescent="0.25">
      <c r="A20" s="93">
        <v>10</v>
      </c>
      <c r="B20" s="214">
        <v>13682</v>
      </c>
      <c r="C20" s="214">
        <v>56765</v>
      </c>
      <c r="D20" s="100">
        <v>70447</v>
      </c>
      <c r="E20" s="100">
        <v>30385.895809325229</v>
      </c>
    </row>
    <row r="21" spans="1:5" ht="15" customHeight="1" x14ac:dyDescent="0.25">
      <c r="A21" s="93">
        <v>11</v>
      </c>
      <c r="B21" s="214">
        <v>3024</v>
      </c>
      <c r="C21" s="214">
        <v>47327</v>
      </c>
      <c r="D21" s="100">
        <v>50351</v>
      </c>
      <c r="E21" s="100">
        <v>21717.890611315383</v>
      </c>
    </row>
    <row r="22" spans="1:5" ht="15" customHeight="1" x14ac:dyDescent="0.25">
      <c r="A22" s="93">
        <v>12</v>
      </c>
      <c r="B22" s="214">
        <v>15698</v>
      </c>
      <c r="C22" s="214">
        <v>96782</v>
      </c>
      <c r="D22" s="100">
        <v>112480</v>
      </c>
      <c r="E22" s="100">
        <v>48515.984507969137</v>
      </c>
    </row>
    <row r="23" spans="1:5" ht="15" customHeight="1" x14ac:dyDescent="0.25">
      <c r="A23" s="93">
        <v>13</v>
      </c>
      <c r="B23" s="214">
        <v>18809</v>
      </c>
      <c r="C23" s="214">
        <v>128874</v>
      </c>
      <c r="D23" s="100">
        <v>147683</v>
      </c>
      <c r="E23" s="100">
        <v>63700.09015016364</v>
      </c>
    </row>
    <row r="24" spans="1:5" ht="15" customHeight="1" x14ac:dyDescent="0.25">
      <c r="A24" s="93">
        <v>14</v>
      </c>
      <c r="B24" s="214">
        <v>3677</v>
      </c>
      <c r="C24" s="214">
        <v>83666</v>
      </c>
      <c r="D24" s="100">
        <v>87343</v>
      </c>
      <c r="E24" s="100">
        <v>37673.645402556438</v>
      </c>
    </row>
    <row r="25" spans="1:5" ht="15" customHeight="1" x14ac:dyDescent="0.25">
      <c r="A25" s="93">
        <v>15</v>
      </c>
      <c r="B25" s="214">
        <v>73618</v>
      </c>
      <c r="C25" s="214">
        <v>185890</v>
      </c>
      <c r="D25" s="100">
        <v>259508</v>
      </c>
      <c r="E25" s="100">
        <v>111933.55358902966</v>
      </c>
    </row>
    <row r="26" spans="1:5" ht="15" customHeight="1" x14ac:dyDescent="0.25">
      <c r="A26" s="93">
        <v>16</v>
      </c>
      <c r="B26" s="214">
        <v>4345</v>
      </c>
      <c r="C26" s="214">
        <v>22257</v>
      </c>
      <c r="D26" s="100">
        <v>26602</v>
      </c>
      <c r="E26" s="100">
        <v>11474.237374475419</v>
      </c>
    </row>
    <row r="27" spans="1:5" ht="15" customHeight="1" x14ac:dyDescent="0.25">
      <c r="A27" s="93" t="s">
        <v>72</v>
      </c>
      <c r="B27" s="214">
        <v>7271</v>
      </c>
      <c r="C27" s="214">
        <v>185276</v>
      </c>
      <c r="D27" s="100">
        <v>192547</v>
      </c>
      <c r="E27" s="100">
        <v>83051.273729160152</v>
      </c>
    </row>
    <row r="28" spans="1:5" ht="15" customHeight="1" x14ac:dyDescent="0.25">
      <c r="A28" s="93">
        <v>19</v>
      </c>
      <c r="B28" s="214">
        <v>5150</v>
      </c>
      <c r="C28" s="214">
        <v>39196</v>
      </c>
      <c r="D28" s="100">
        <v>44346</v>
      </c>
      <c r="E28" s="100">
        <v>19127.754702972969</v>
      </c>
    </row>
    <row r="29" spans="1:5" ht="15" customHeight="1" x14ac:dyDescent="0.25">
      <c r="A29" s="93">
        <v>20</v>
      </c>
      <c r="B29" s="214">
        <v>59537</v>
      </c>
      <c r="C29" s="214">
        <v>135084</v>
      </c>
      <c r="D29" s="100">
        <v>194621</v>
      </c>
      <c r="E29" s="100">
        <v>83945.851893007304</v>
      </c>
    </row>
    <row r="30" spans="1:5" ht="15" customHeight="1" x14ac:dyDescent="0.25">
      <c r="A30" s="93">
        <v>21</v>
      </c>
      <c r="B30" s="214">
        <v>11687</v>
      </c>
      <c r="C30" s="214">
        <v>109520</v>
      </c>
      <c r="D30" s="100">
        <v>121207</v>
      </c>
      <c r="E30" s="100">
        <v>52280.200340126379</v>
      </c>
    </row>
    <row r="31" spans="1:5" ht="15" customHeight="1" x14ac:dyDescent="0.25">
      <c r="A31" s="93">
        <v>22</v>
      </c>
      <c r="B31" s="215">
        <v>11425</v>
      </c>
      <c r="C31" s="215">
        <v>24570</v>
      </c>
      <c r="D31" s="216">
        <v>35995</v>
      </c>
      <c r="E31" s="216">
        <v>15525.718904377216</v>
      </c>
    </row>
    <row r="32" spans="1:5" ht="15" customHeight="1" x14ac:dyDescent="0.2">
      <c r="A32" s="6" t="s">
        <v>185</v>
      </c>
      <c r="B32" s="217">
        <f>SUM(B7:B31)</f>
        <v>653151</v>
      </c>
      <c r="C32" s="217">
        <f>SUM(C7:C31)</f>
        <v>2405712</v>
      </c>
      <c r="D32" s="15">
        <f>SUM(D7:D31)</f>
        <v>3058863</v>
      </c>
      <c r="E32" s="15">
        <f>SUM(E7:E31)</f>
        <v>1319379</v>
      </c>
    </row>
    <row r="33" spans="1:7" s="162" customFormat="1" ht="25.5" customHeight="1" x14ac:dyDescent="0.2">
      <c r="A33" s="148"/>
      <c r="B33" s="161"/>
      <c r="C33" s="161"/>
      <c r="D33" s="161"/>
      <c r="E33" s="161"/>
    </row>
    <row r="34" spans="1:7" x14ac:dyDescent="0.2">
      <c r="G34" s="154"/>
    </row>
    <row r="35" spans="1:7" x14ac:dyDescent="0.2">
      <c r="A35" s="73" t="s">
        <v>303</v>
      </c>
    </row>
    <row r="36" spans="1:7" x14ac:dyDescent="0.2">
      <c r="A36" s="218">
        <v>45797</v>
      </c>
      <c r="B36" s="100"/>
      <c r="C36" s="100"/>
      <c r="D36" s="100"/>
      <c r="E36" s="100"/>
      <c r="G36" s="154"/>
    </row>
    <row r="37" spans="1:7" x14ac:dyDescent="0.2">
      <c r="A37" s="354"/>
      <c r="B37" s="100"/>
      <c r="C37" s="100"/>
      <c r="D37" s="100"/>
      <c r="E37" s="100"/>
    </row>
    <row r="38" spans="1:7" x14ac:dyDescent="0.2">
      <c r="A38"/>
      <c r="B38" s="100"/>
      <c r="C38" s="100"/>
      <c r="D38" s="100"/>
      <c r="E38" s="100"/>
    </row>
    <row r="39" spans="1:7" x14ac:dyDescent="0.2">
      <c r="A39"/>
      <c r="B39" s="100"/>
      <c r="C39" s="100"/>
      <c r="D39" s="100"/>
      <c r="E39" s="100"/>
    </row>
    <row r="40" spans="1:7" x14ac:dyDescent="0.2">
      <c r="A40"/>
      <c r="B40" s="100"/>
      <c r="C40" s="100"/>
      <c r="D40" s="100"/>
      <c r="E40" s="100"/>
    </row>
  </sheetData>
  <sheetProtection algorithmName="SHA-512" hashValue="5S7W2dbqI70ZYRw1a4gFBMorK2C1LumoHfBsJv4wuV4Je8o56iRVpPs+dVUnHYp1OEA3z4UmR0QDTo0dt11BUw==" saltValue="8NzRyFPUNLVv4nz24E0iOQ==" spinCount="100000" sheet="1" objects="1" scenarios="1"/>
  <mergeCells count="5">
    <mergeCell ref="A1:E1"/>
    <mergeCell ref="A2:E2"/>
    <mergeCell ref="A3:E3"/>
    <mergeCell ref="A4:E4"/>
    <mergeCell ref="A5:E5"/>
  </mergeCells>
  <pageMargins left="1.01" right="0.75" top="1" bottom="1" header="0.5" footer="0.5"/>
  <pageSetup orientation="portrait" horizontalDpi="4294967294" vertic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F49"/>
  <sheetViews>
    <sheetView zoomScaleNormal="100" workbookViewId="0">
      <selection activeCell="A37" sqref="A37"/>
    </sheetView>
  </sheetViews>
  <sheetFormatPr defaultColWidth="9" defaultRowHeight="12.75" x14ac:dyDescent="0.2"/>
  <cols>
    <col min="1" max="1" width="13" style="148" customWidth="1"/>
    <col min="2" max="2" width="14.28515625" style="148" customWidth="1"/>
    <col min="3" max="3" width="14" style="148" customWidth="1"/>
    <col min="4" max="4" width="16.140625" style="148" customWidth="1"/>
    <col min="5" max="5" width="20.5703125" style="148" customWidth="1"/>
    <col min="6" max="16384" width="9" style="148"/>
  </cols>
  <sheetData>
    <row r="1" spans="1:6" ht="15.75" x14ac:dyDescent="0.25">
      <c r="A1" s="644" t="s">
        <v>290</v>
      </c>
      <c r="B1" s="644"/>
      <c r="C1" s="644"/>
      <c r="D1" s="644"/>
      <c r="E1" s="644"/>
      <c r="F1" s="143"/>
    </row>
    <row r="2" spans="1:6" ht="15.75" x14ac:dyDescent="0.25">
      <c r="A2" s="644" t="s">
        <v>322</v>
      </c>
      <c r="B2" s="644"/>
      <c r="C2" s="644"/>
      <c r="D2" s="644"/>
      <c r="E2" s="644"/>
      <c r="F2" s="149"/>
    </row>
    <row r="3" spans="1:6" ht="15.75" x14ac:dyDescent="0.25">
      <c r="A3" s="664"/>
      <c r="B3" s="664"/>
      <c r="C3" s="664"/>
      <c r="D3" s="664"/>
      <c r="E3" s="664"/>
      <c r="F3" s="149"/>
    </row>
    <row r="4" spans="1:6" x14ac:dyDescent="0.2">
      <c r="B4" s="150"/>
      <c r="C4" s="151"/>
      <c r="D4" s="152"/>
    </row>
    <row r="5" spans="1:6" x14ac:dyDescent="0.2">
      <c r="C5" s="153"/>
      <c r="D5" s="154"/>
    </row>
    <row r="6" spans="1:6" ht="38.25" x14ac:dyDescent="0.2">
      <c r="A6"/>
      <c r="B6" s="2" t="s">
        <v>295</v>
      </c>
      <c r="C6" s="219" t="s">
        <v>323</v>
      </c>
      <c r="D6" s="88" t="s">
        <v>324</v>
      </c>
    </row>
    <row r="7" spans="1:6" x14ac:dyDescent="0.2">
      <c r="A7"/>
      <c r="B7">
        <v>1</v>
      </c>
      <c r="C7" s="220">
        <v>1.2809125981847957</v>
      </c>
      <c r="D7" s="9">
        <v>1665.1863776402345</v>
      </c>
    </row>
    <row r="8" spans="1:6" x14ac:dyDescent="0.2">
      <c r="A8"/>
      <c r="B8">
        <v>2</v>
      </c>
      <c r="C8" s="220">
        <v>1.2087485081462155</v>
      </c>
      <c r="D8" s="9">
        <v>1571.3730605900801</v>
      </c>
    </row>
    <row r="9" spans="1:6" x14ac:dyDescent="0.2">
      <c r="A9"/>
      <c r="B9">
        <v>3</v>
      </c>
      <c r="C9" s="220">
        <v>3.6914707596658247</v>
      </c>
      <c r="D9" s="9">
        <v>4798.9119875655715</v>
      </c>
    </row>
    <row r="10" spans="1:6" x14ac:dyDescent="0.2">
      <c r="A10"/>
      <c r="B10">
        <v>4</v>
      </c>
      <c r="C10" s="220">
        <v>1.8554497765688751</v>
      </c>
      <c r="D10" s="9">
        <v>2412.0847095395379</v>
      </c>
    </row>
    <row r="11" spans="1:6" x14ac:dyDescent="0.2">
      <c r="A11"/>
      <c r="B11">
        <v>5</v>
      </c>
      <c r="C11" s="220">
        <v>6.4142773876599408</v>
      </c>
      <c r="D11" s="9">
        <v>8338.5606039579234</v>
      </c>
    </row>
    <row r="12" spans="1:6" x14ac:dyDescent="0.2">
      <c r="A12"/>
      <c r="B12">
        <v>6</v>
      </c>
      <c r="C12" s="220">
        <v>4.8002997585278528</v>
      </c>
      <c r="D12" s="9">
        <v>6240.3896860862096</v>
      </c>
    </row>
    <row r="13" spans="1:6" x14ac:dyDescent="0.2">
      <c r="A13"/>
      <c r="B13">
        <v>7</v>
      </c>
      <c r="C13" s="220">
        <v>3.3597934996808125</v>
      </c>
      <c r="D13" s="9">
        <v>4367.7315495850562</v>
      </c>
    </row>
    <row r="14" spans="1:6" x14ac:dyDescent="0.2">
      <c r="A14"/>
      <c r="B14" s="93" t="s">
        <v>49</v>
      </c>
      <c r="C14" s="220"/>
      <c r="D14" s="9">
        <v>0</v>
      </c>
    </row>
    <row r="15" spans="1:6" x14ac:dyDescent="0.2">
      <c r="A15"/>
      <c r="B15" s="93" t="s">
        <v>52</v>
      </c>
      <c r="C15" s="220"/>
      <c r="D15" s="9">
        <v>0</v>
      </c>
    </row>
    <row r="16" spans="1:6" x14ac:dyDescent="0.2">
      <c r="A16"/>
      <c r="B16" s="223" t="s">
        <v>325</v>
      </c>
      <c r="C16" s="220">
        <v>17.905020955341531</v>
      </c>
      <c r="D16" s="9">
        <v>23276.52724194399</v>
      </c>
    </row>
    <row r="17" spans="1:4" x14ac:dyDescent="0.2">
      <c r="A17"/>
      <c r="B17" s="223" t="s">
        <v>58</v>
      </c>
      <c r="C17" s="220"/>
      <c r="D17" s="9">
        <v>0</v>
      </c>
    </row>
    <row r="18" spans="1:4" x14ac:dyDescent="0.2">
      <c r="A18"/>
      <c r="B18" s="223" t="s">
        <v>61</v>
      </c>
      <c r="C18" s="220">
        <v>3.2071386938299704</v>
      </c>
      <c r="D18" s="9">
        <v>4169.2803019789617</v>
      </c>
    </row>
    <row r="19" spans="1:4" x14ac:dyDescent="0.2">
      <c r="A19"/>
      <c r="B19">
        <v>9</v>
      </c>
      <c r="C19" s="220">
        <v>1.9276138666074552</v>
      </c>
      <c r="D19" s="9">
        <v>2505.8980265896917</v>
      </c>
    </row>
    <row r="20" spans="1:4" x14ac:dyDescent="0.2">
      <c r="A20"/>
      <c r="B20">
        <v>10</v>
      </c>
      <c r="C20" s="220">
        <v>3.6664908823447777</v>
      </c>
      <c r="D20" s="9">
        <v>4766.4381470482112</v>
      </c>
    </row>
    <row r="21" spans="1:4" x14ac:dyDescent="0.2">
      <c r="A21"/>
      <c r="B21">
        <v>11</v>
      </c>
      <c r="C21" s="220">
        <v>4.5782564045629908</v>
      </c>
      <c r="D21" s="9">
        <v>5951.7333259318884</v>
      </c>
    </row>
    <row r="22" spans="1:4" x14ac:dyDescent="0.2">
      <c r="A22"/>
      <c r="B22">
        <v>12</v>
      </c>
      <c r="C22" s="220">
        <v>3.5235504732298981</v>
      </c>
      <c r="D22" s="9">
        <v>4580.615615198868</v>
      </c>
    </row>
    <row r="23" spans="1:4" x14ac:dyDescent="0.2">
      <c r="A23"/>
      <c r="B23">
        <v>13</v>
      </c>
      <c r="C23" s="220">
        <v>1.5126703488856199</v>
      </c>
      <c r="D23" s="9">
        <v>1966.4714535513058</v>
      </c>
    </row>
    <row r="24" spans="1:4" x14ac:dyDescent="0.2">
      <c r="A24"/>
      <c r="B24">
        <v>14</v>
      </c>
      <c r="C24" s="220">
        <v>1.4724249909794886</v>
      </c>
      <c r="D24" s="9">
        <v>1914.1524882733354</v>
      </c>
    </row>
    <row r="25" spans="1:4" x14ac:dyDescent="0.2">
      <c r="A25"/>
      <c r="B25">
        <v>15</v>
      </c>
      <c r="C25" s="220">
        <v>14.893557967193093</v>
      </c>
      <c r="D25" s="9">
        <v>19361.625357351022</v>
      </c>
    </row>
    <row r="26" spans="1:4" x14ac:dyDescent="0.2">
      <c r="A26"/>
      <c r="B26">
        <v>16</v>
      </c>
      <c r="C26" s="220">
        <v>2.7797052374476117</v>
      </c>
      <c r="D26" s="9">
        <v>3613.6168086818948</v>
      </c>
    </row>
    <row r="27" spans="1:4" x14ac:dyDescent="0.2">
      <c r="A27"/>
      <c r="B27" s="93" t="s">
        <v>326</v>
      </c>
      <c r="C27" s="220">
        <v>7.7937217241666437</v>
      </c>
      <c r="D27" s="9">
        <v>24903.838241416637</v>
      </c>
    </row>
    <row r="28" spans="1:4" x14ac:dyDescent="0.2">
      <c r="A28"/>
      <c r="B28">
        <v>19</v>
      </c>
      <c r="C28" s="220">
        <v>2.2454134169696633</v>
      </c>
      <c r="D28" s="9">
        <v>2919.0374420605622</v>
      </c>
    </row>
    <row r="29" spans="1:4" x14ac:dyDescent="0.2">
      <c r="A29"/>
      <c r="B29">
        <v>20</v>
      </c>
      <c r="C29" s="220">
        <v>11.363068639151793</v>
      </c>
      <c r="D29" s="9">
        <v>-1.0769102669655695E-2</v>
      </c>
    </row>
    <row r="30" spans="1:4" x14ac:dyDescent="0.2">
      <c r="A30"/>
      <c r="B30">
        <v>21</v>
      </c>
      <c r="C30" s="220"/>
      <c r="D30" s="9">
        <v>0</v>
      </c>
    </row>
    <row r="31" spans="1:4" x14ac:dyDescent="0.2">
      <c r="A31"/>
      <c r="B31" s="53">
        <v>22</v>
      </c>
      <c r="C31" s="375">
        <v>0.52041411085514444</v>
      </c>
      <c r="D31" s="225">
        <v>676.53834411168782</v>
      </c>
    </row>
    <row r="32" spans="1:4" x14ac:dyDescent="0.2">
      <c r="A32"/>
      <c r="B32"/>
      <c r="C32" s="220"/>
      <c r="D32"/>
    </row>
    <row r="33" spans="1:5" x14ac:dyDescent="0.2">
      <c r="A33"/>
      <c r="B33" s="6" t="s">
        <v>185</v>
      </c>
      <c r="C33" s="221">
        <f>SUM(C7:C32)</f>
        <v>100</v>
      </c>
      <c r="D33" s="47">
        <f>SUM(D7:D32)</f>
        <v>130000.00000000001</v>
      </c>
    </row>
    <row r="34" spans="1:5" x14ac:dyDescent="0.2">
      <c r="A34"/>
      <c r="B34" s="6"/>
      <c r="C34"/>
      <c r="D34" s="47"/>
    </row>
    <row r="35" spans="1:5" x14ac:dyDescent="0.2">
      <c r="A35" s="6" t="s">
        <v>303</v>
      </c>
      <c r="B35"/>
      <c r="C35"/>
      <c r="D35"/>
    </row>
    <row r="36" spans="1:5" x14ac:dyDescent="0.2">
      <c r="A36" s="222">
        <v>45797</v>
      </c>
      <c r="B36"/>
      <c r="C36"/>
      <c r="D36"/>
    </row>
    <row r="37" spans="1:5" x14ac:dyDescent="0.2">
      <c r="A37" s="155"/>
      <c r="B37" s="153"/>
      <c r="C37" s="154"/>
    </row>
    <row r="38" spans="1:5" x14ac:dyDescent="0.2">
      <c r="A38" s="156"/>
      <c r="B38" s="157"/>
      <c r="C38" s="154"/>
    </row>
    <row r="40" spans="1:5" ht="15" x14ac:dyDescent="0.25">
      <c r="B40" s="663"/>
      <c r="C40" s="663"/>
      <c r="D40" s="663"/>
      <c r="E40" s="663"/>
    </row>
    <row r="41" spans="1:5" ht="15" x14ac:dyDescent="0.25">
      <c r="B41" s="663"/>
      <c r="C41" s="663"/>
      <c r="D41" s="663"/>
      <c r="E41" s="663"/>
    </row>
    <row r="42" spans="1:5" ht="15" x14ac:dyDescent="0.25">
      <c r="B42" s="663"/>
      <c r="C42" s="663"/>
      <c r="D42" s="663"/>
      <c r="E42" s="663"/>
    </row>
    <row r="43" spans="1:5" ht="15" x14ac:dyDescent="0.25">
      <c r="B43" s="663"/>
      <c r="C43" s="663"/>
      <c r="D43" s="663"/>
      <c r="E43" s="663"/>
    </row>
    <row r="44" spans="1:5" ht="14.25" x14ac:dyDescent="0.2">
      <c r="B44" s="158"/>
      <c r="C44" s="159"/>
      <c r="D44" s="159"/>
      <c r="E44" s="159"/>
    </row>
    <row r="45" spans="1:5" ht="14.25" x14ac:dyDescent="0.2">
      <c r="B45" s="662"/>
      <c r="C45" s="662"/>
      <c r="D45" s="662"/>
      <c r="E45" s="662"/>
    </row>
    <row r="46" spans="1:5" ht="14.25" x14ac:dyDescent="0.2">
      <c r="B46" s="160"/>
      <c r="C46" s="159"/>
      <c r="D46" s="159"/>
      <c r="E46" s="159"/>
    </row>
    <row r="47" spans="1:5" ht="14.25" x14ac:dyDescent="0.2">
      <c r="B47" s="662"/>
      <c r="C47" s="662"/>
      <c r="D47" s="662"/>
      <c r="E47" s="662"/>
    </row>
    <row r="48" spans="1:5" ht="14.25" x14ac:dyDescent="0.2">
      <c r="B48" s="662"/>
      <c r="C48" s="662"/>
      <c r="D48" s="662"/>
      <c r="E48" s="662"/>
    </row>
    <row r="49" spans="2:5" ht="14.25" x14ac:dyDescent="0.2">
      <c r="B49" s="662"/>
      <c r="C49" s="662"/>
      <c r="D49" s="662"/>
      <c r="E49" s="662"/>
    </row>
  </sheetData>
  <sheetProtection algorithmName="SHA-512" hashValue="3YiY9a+In7OxXST361PnmKpQYg25KGlJgvz56voq7y0lPfi+JK/SPyYW8drESutjpEC+rExCvJIB0ireDTDXCw==" saltValue="9jd9xvWDrc7YNsm5wexokw==" spinCount="100000" sheet="1" objects="1" scenarios="1"/>
  <mergeCells count="11">
    <mergeCell ref="B49:E49"/>
    <mergeCell ref="B43:E43"/>
    <mergeCell ref="B42:E42"/>
    <mergeCell ref="A1:E1"/>
    <mergeCell ref="A2:E2"/>
    <mergeCell ref="B41:E41"/>
    <mergeCell ref="B40:E40"/>
    <mergeCell ref="B45:E45"/>
    <mergeCell ref="B47:E47"/>
    <mergeCell ref="B48:E48"/>
    <mergeCell ref="A3:E3"/>
  </mergeCells>
  <pageMargins left="0.91" right="0.76" top="0.75" bottom="0.75" header="0.3" footer="0.3"/>
  <pageSetup scale="110"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pageSetUpPr fitToPage="1"/>
  </sheetPr>
  <dimension ref="A1:J62"/>
  <sheetViews>
    <sheetView showZeros="0" topLeftCell="A7" zoomScaleNormal="100" workbookViewId="0">
      <selection activeCell="I35" sqref="I35"/>
    </sheetView>
  </sheetViews>
  <sheetFormatPr defaultColWidth="9.140625" defaultRowHeight="12.75" x14ac:dyDescent="0.2"/>
  <cols>
    <col min="1" max="1" width="14.85546875" customWidth="1"/>
    <col min="2" max="2" width="28.5703125" customWidth="1"/>
    <col min="3" max="3" width="13" customWidth="1"/>
    <col min="4" max="4" width="12.140625" customWidth="1"/>
    <col min="5" max="5" width="7.140625" customWidth="1"/>
    <col min="6" max="6" width="48.7109375" customWidth="1"/>
    <col min="7" max="7" width="12.140625" customWidth="1"/>
    <col min="8" max="8" width="3.140625" customWidth="1"/>
    <col min="9" max="9" width="20.140625" customWidth="1"/>
    <col min="10" max="10" width="12.28515625" customWidth="1"/>
  </cols>
  <sheetData>
    <row r="1" spans="1:10" ht="18" customHeight="1" x14ac:dyDescent="0.2">
      <c r="A1" s="6" t="s">
        <v>0</v>
      </c>
      <c r="B1" s="52" t="str">
        <f>Summary!B1</f>
        <v>Piedmont Senior Resources Area Agency on Aging, Inc.</v>
      </c>
      <c r="C1" s="53"/>
      <c r="E1" s="6" t="s">
        <v>80</v>
      </c>
      <c r="F1" s="54">
        <f>Summary!H1</f>
        <v>14</v>
      </c>
      <c r="G1" s="9"/>
    </row>
    <row r="2" spans="1:10" ht="18.75" customHeight="1" x14ac:dyDescent="0.2">
      <c r="A2" s="6"/>
      <c r="B2" s="55"/>
      <c r="D2" s="6"/>
      <c r="E2" s="97"/>
      <c r="F2" s="56"/>
    </row>
    <row r="3" spans="1:10" ht="25.5" x14ac:dyDescent="0.2">
      <c r="A3" s="493" t="s">
        <v>81</v>
      </c>
      <c r="B3" s="493"/>
      <c r="C3" s="87"/>
      <c r="D3" s="88" t="s">
        <v>82</v>
      </c>
      <c r="F3" s="89" t="s">
        <v>81</v>
      </c>
      <c r="G3" s="88" t="s">
        <v>82</v>
      </c>
      <c r="I3" s="6"/>
      <c r="J3" s="88"/>
    </row>
    <row r="4" spans="1:10" ht="22.5" customHeight="1" x14ac:dyDescent="0.2">
      <c r="A4" s="5" t="s">
        <v>83</v>
      </c>
      <c r="C4" s="90"/>
      <c r="D4" s="73"/>
      <c r="F4" s="6" t="s">
        <v>7</v>
      </c>
      <c r="G4" s="73"/>
    </row>
    <row r="5" spans="1:10" x14ac:dyDescent="0.2">
      <c r="A5" s="73" t="s">
        <v>84</v>
      </c>
      <c r="C5" s="99">
        <f>IF('Title III'!AO6=0," ",SUM('Title III'!H6:O6))</f>
        <v>135762</v>
      </c>
      <c r="D5" s="165">
        <f>IF('Title III'!AO6=0," ",SUM('Title III'!H6:O6)/'Title III'!AO6)</f>
        <v>0.3138439772711511</v>
      </c>
      <c r="F5" s="73" t="s">
        <v>85</v>
      </c>
      <c r="G5" s="165">
        <f>IF(('Title III-E'!AD6)=0," ",('Title III-E'!AD6)/('III-E Grandparents'!AF6))</f>
        <v>9.9999473437557593E-2</v>
      </c>
    </row>
    <row r="6" spans="1:10" x14ac:dyDescent="0.2">
      <c r="A6" s="73" t="s">
        <v>86</v>
      </c>
      <c r="C6" s="99">
        <f>IF('Title III'!AO6=0," ",SUM('Title III'!C6:G6))</f>
        <v>153255</v>
      </c>
      <c r="D6" s="165">
        <f>IF('Title III'!AO6=0," ",SUM('Title III'!C6:G6)/'Title III'!AO6)</f>
        <v>0.35428292700969538</v>
      </c>
      <c r="F6" s="73" t="s">
        <v>87</v>
      </c>
      <c r="G6" s="166">
        <f>IF('Title III-E'!AD6=0," ",'Title III-E'!AD6/('Title III-E'!AD21+'Title III-E'!AD22-'Title III-E'!AD12))</f>
        <v>0.70360490533881659</v>
      </c>
    </row>
    <row r="7" spans="1:10" x14ac:dyDescent="0.2">
      <c r="A7" s="73" t="s">
        <v>88</v>
      </c>
      <c r="C7" s="99">
        <f>IF('Title III'!AO6=0," ",'Title III'!AJ6)</f>
        <v>25000</v>
      </c>
      <c r="D7" s="166">
        <f>IF('Title III'!AO6=0," ",'Title III'!AJ6/'Title III'!AO6)</f>
        <v>5.7793045416086812E-2</v>
      </c>
      <c r="F7" s="73" t="s">
        <v>89</v>
      </c>
      <c r="G7" s="165">
        <f>IF('III-E Grandparents'!AF6=0," ",('III-E Grandparents'!AF6-'Title III-E'!AD6)/('III-E Grandparents'!AF21+'III-E Grandparents'!AF22-'III-E Grandparents'!AF8-'III-E Grandparents'!AF10-'III-E Grandparents'!AF13-'Title III-E'!AD6))</f>
        <v>0.63671583966621959</v>
      </c>
    </row>
    <row r="8" spans="1:10" x14ac:dyDescent="0.2">
      <c r="A8" s="73"/>
      <c r="C8" s="99"/>
      <c r="D8" s="91"/>
      <c r="G8" s="93"/>
    </row>
    <row r="9" spans="1:10" x14ac:dyDescent="0.2">
      <c r="A9" s="6" t="s">
        <v>90</v>
      </c>
      <c r="C9" s="100"/>
      <c r="D9" s="93"/>
      <c r="F9" s="6" t="s">
        <v>91</v>
      </c>
      <c r="G9" s="91"/>
    </row>
    <row r="10" spans="1:10" x14ac:dyDescent="0.2">
      <c r="A10" s="73" t="s">
        <v>92</v>
      </c>
      <c r="C10" s="100">
        <f>IF(('Title III'!AN6+'Title III'!AN7+'Title III'!AN8)=0," ",('Title III'!AN6+'Title III'!AN7+'Title III'!AN8))</f>
        <v>121280</v>
      </c>
      <c r="D10" s="165">
        <f>IF(('Title III'!AN6+'Title III'!AN7+'Title III'!AN8)=0," ",('Title III'!AN6+'Title III'!AN7+'Title III'!AN8)/('Title III'!AO6+'Title III'!AO7+'Title III'!AO8+'Title III'!AO9))</f>
        <v>9.6247246224073241E-2</v>
      </c>
      <c r="F10" s="73" t="s">
        <v>93</v>
      </c>
      <c r="G10" s="95">
        <f>'Title III-E'!J6+'Title III-E'!K6+'Title III-E'!L6+'Title III-E'!M6+'Title III-E'!N6+'III-E Grandparents'!J6+'III-E Grandparents'!K6+'III-E Grandparents'!L6+'III-E Grandparents'!M6+'III-E Grandparents'!N6</f>
        <v>124260</v>
      </c>
    </row>
    <row r="11" spans="1:10" x14ac:dyDescent="0.2">
      <c r="A11" s="73" t="s">
        <v>94</v>
      </c>
      <c r="C11" s="99">
        <f>IF(('Title III'!AN6+'Title III'!AN7+'Title III'!AN8)=0," ",('Title III'!AN6+'Title III'!AN7+'Title III'!AN8))</f>
        <v>121280</v>
      </c>
      <c r="D11" s="165">
        <f>IF(('Title III'!AN6+'Title III'!AN7+'Title III'!AN8)=0," ",('Title III'!AN6+'Title III'!AN7+'Title III'!AN8)/('Title III'!AN30+'Title III'!AN31-'Title III'!AN18))</f>
        <v>0.38908708261684161</v>
      </c>
      <c r="F11" s="73" t="s">
        <v>95</v>
      </c>
      <c r="G11" s="92">
        <f>'Title III-E'!O6+'Title III-E'!P6+'Title III-E'!Q6+'Title III-E'!R6+'Title III-E'!S6+'Title III-E'!T6+'Title III-E'!U6+'Title III-E'!V6+'Title III-E'!W6+'Title III-E'!X6+'Title III-E'!Y6+'Title III-E'!Z6+'Title III-E'!AA6+'Title III-E'!AB6+'III-E Grandparents'!O6+'III-E Grandparents'!P6+'III-E Grandparents'!Q6+'III-E Grandparents'!R6+'III-E Grandparents'!S6+'III-E Grandparents'!T6+'III-E Grandparents'!U6+'III-E Grandparents'!V6+'III-E Grandparents'!W6+'III-E Grandparents'!X6+'III-E Grandparents'!Y6+'III-E Grandparents'!Z6+'III-E Grandparents'!AA6+'III-E Grandparents'!AB6</f>
        <v>28660</v>
      </c>
    </row>
    <row r="12" spans="1:10" x14ac:dyDescent="0.2">
      <c r="A12" s="73" t="s">
        <v>96</v>
      </c>
      <c r="C12" s="99">
        <f>IF(('Title III'!AN14+'Title III'!AN21+'Title III'!AN31)=0," ",('Title III'!AN14+'Title III'!AN21+'Title III'!AN31))</f>
        <v>190424</v>
      </c>
      <c r="D12" s="166">
        <f>IF(('Title III'!AN14+'Title III'!AN21+'Title III'!AN31)=0," ",('Title III'!AN14+'Title III'!AN21+'Title III'!AN31)/('Title III'!AN30+'Title III'!AN31-'Title III'!AN18))</f>
        <v>0.61091291738315834</v>
      </c>
      <c r="G12" s="93"/>
    </row>
    <row r="13" spans="1:10" x14ac:dyDescent="0.2">
      <c r="A13" s="73"/>
      <c r="F13" s="73"/>
    </row>
    <row r="14" spans="1:10" x14ac:dyDescent="0.2">
      <c r="A14" s="494" t="s">
        <v>97</v>
      </c>
      <c r="B14" s="494"/>
      <c r="C14" s="101"/>
      <c r="D14" s="168"/>
      <c r="G14" s="93"/>
    </row>
    <row r="15" spans="1:10" x14ac:dyDescent="0.2">
      <c r="A15" s="494"/>
      <c r="B15" s="494"/>
      <c r="C15" s="99">
        <f>IF('Title III'!AN21+'Title III-E'!AD15&lt;=0," ",('Title III'!AN21+'Title III-E'!AD15))</f>
        <v>2000</v>
      </c>
      <c r="D15" s="165">
        <f>IF('Title III'!AN21+'Title III-E'!AD15&lt;=0," ",('Title III'!AN21+'Title III-E'!AD15)/('Title III'!AO21+'Title III-E'!AE15))</f>
        <v>1.3028127727764243E-2</v>
      </c>
      <c r="F15" s="73" t="s">
        <v>98</v>
      </c>
      <c r="G15" s="95">
        <f>'III-E Grandparents'!AD6</f>
        <v>0</v>
      </c>
    </row>
    <row r="16" spans="1:10" ht="12.75" customHeight="1" x14ac:dyDescent="0.2">
      <c r="F16" s="96" t="s">
        <v>99</v>
      </c>
      <c r="G16" s="167">
        <f>IF('III-E Grandparents'!AF6=0," ",'III-E Grandparents'!AD6/'III-E Grandparents'!AF6)</f>
        <v>0</v>
      </c>
    </row>
    <row r="17" spans="1:9" ht="13.5" customHeight="1" x14ac:dyDescent="0.2">
      <c r="A17" s="494" t="s">
        <v>100</v>
      </c>
      <c r="B17" s="481"/>
      <c r="C17" s="173" t="s">
        <v>101</v>
      </c>
      <c r="D17" s="91" t="s">
        <v>102</v>
      </c>
    </row>
    <row r="18" spans="1:9" x14ac:dyDescent="0.2">
      <c r="A18" s="481"/>
      <c r="B18" s="481"/>
      <c r="C18" s="171">
        <f>'Title III'!AL6-D18</f>
        <v>0</v>
      </c>
      <c r="D18" s="172">
        <f>IF($F1=1,Summary!F55,IF($F1=2,Summary!F56,IF($F1=3,Summary!F57,IF($F1=4,Summary!F58,IF($F1=5,Summary!F59,IF($F1=6,Summary!F60,IF($F1=7,Summary!F61,IF($F1="8A",Summary!F62,IF($F1="8B",Summary!F63,IF($F1="8C",Summary!F64,IF($F1="8D",Summary!F65,IF($F1="8E",Summary!F66,IF($F1=9,Summary!F67,IF($F1=10,Summary!F68,IF($F1=11,Summary!F69,IF($F1=12,Summary!F70,IF($F1=13,Summary!F71,IF($F1=14,Summary!F72,IF($F1=15,Summary!F73,IF($F1=16,Summary!F74,IF($F1="17/18",Summary!F75,IF($F1=19,Summary!F76,IF($F1=20,Summary!F77,IF($F1=21,Summary!F78,IF($F1=22,Summary!F79,"0")))))))))))))))))))))))))</f>
        <v>951</v>
      </c>
      <c r="G18" s="93"/>
    </row>
    <row r="19" spans="1:9" x14ac:dyDescent="0.2">
      <c r="F19" s="494" t="s">
        <v>103</v>
      </c>
      <c r="G19" s="495"/>
    </row>
    <row r="20" spans="1:9" ht="12.75" customHeight="1" x14ac:dyDescent="0.2">
      <c r="A20" s="47" t="s">
        <v>104</v>
      </c>
      <c r="C20" s="99"/>
      <c r="D20" s="91"/>
      <c r="F20" s="494"/>
      <c r="G20" s="495"/>
      <c r="I20" s="9"/>
    </row>
    <row r="21" spans="1:9" ht="12.75" customHeight="1" x14ac:dyDescent="0.2">
      <c r="A21" s="73" t="s">
        <v>105</v>
      </c>
      <c r="C21" s="99">
        <f>IF(('Title III'!AO6-'Title III'!AN6-'Title III'!AL6)=0," ",('Title III'!AO6-'Title III'!AN6-'Title III'!AL6))</f>
        <v>388369</v>
      </c>
      <c r="D21" s="165">
        <f>IF(('Title III'!AO6-'Title III'!J6-'Title III'!U6-'Title III'!V6-'Title III'!W6-'Title III'!AK6-'Title III'!AL6-'Title III'!AN6)=0," ",('Title III'!AO6-'Title III'!J6-'Title III'!U6-'Title III'!V6-'Title III'!W6-'Title III'!AK6-'Title III'!AL6-'Title III'!AN6)/('Title III'!AO6+'Title III'!AO14+'Title III'!AO21+'Title III'!AO22+'Title III'!AO23+'Title III'!AO26+'Title III'!AO31-'Title III'!I14-'Title III'!I26-'Title III'!I31-'Title III'!J6-'Title III'!J14-'Title III'!J21-'Title III'!J26-'Title III'!J31-'Title III'!K14-'Title III'!K26-'Title III'!K31-'Title III'!P14-'Title III'!P21-'Title III'!P31-'Title III'!Q14-'Title III'!Q21-'Title III'!Q31-'Title III'!R14-'Title III'!R21-'Title III'!R31-'Title III'!S14-'Title III'!S21-'Title III'!S31-'Title III'!T14-'Title III'!T21-'Title III'!T31-'Title III'!U6-'Title III'!U14-'Title III'!U21-'Title III'!U31-'Title III'!V6-'Title III'!V14-'Title III'!V21-'Title III'!V31-'Title III'!W6-'Title III'!W14-'Title III'!W21-'Title III'!W31-'Title III'!AK6-'Title III'!AK14-'Title III'!AK21-'Title III'!AK31-'Title III'!AL6-'Title III'!AL14-'Title III'!AL21-'Title III'!AL31-'Title III'!AN6-'Title III'!AN14-'Title III'!AN21-'Title III'!AN31-G19))</f>
        <v>0.56028685976273906</v>
      </c>
      <c r="F21" s="494"/>
      <c r="G21" s="496"/>
    </row>
    <row r="22" spans="1:9" ht="15" x14ac:dyDescent="0.25">
      <c r="A22" s="73" t="s">
        <v>106</v>
      </c>
      <c r="C22" s="355">
        <f>IF(('Title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III'!AN31)=0," ",('Title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III'!AN31-G19))</f>
        <v>246969</v>
      </c>
      <c r="D22" s="166">
        <f>IF(('Title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III'!AN31)=0," ",('Title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III'!AN31)/('Title III'!AO6+'Title III'!AO14+'Title III'!AO21+'Title III'!AO22+'Title III'!AO23+'Title III'!AO26+'Title III'!AO31-'Title III'!I14-'Title III'!I26-'Title III'!I31-'Title III'!J14-'Title III'!J21-'Title III'!J26-'Title III'!J31-'Title III'!K14-'Title III'!K26-'Title III'!K31-'Title III'!P14-'Title III'!P21-'Title III'!P31 -'Title III'!Q14-'Title III'!Q21-'Title III'!Q31-'Title III'!R14-'Title III'!R21-'Title III'!R31-'Title III'!S14-'Title III'!S21-'Title III'!S31-'Title III'!T14-'Title III'!T21-'Title III'!T31-'Title III'!U14-'Title III'!U21-'Title III'!U31-'Title III'!V14-'Title III'!V21-'Title III'!V31-'Title III'!W14-'Title III'!W21-'Title III'!W31-'Title III'!AK14-'Title III'!AK21-'Title III'!AK31-'Title III'!AL14-'Title III'!AL21-'Title III'!AL31-'Title III'!AN6-'Title III'!AN14-'Title III'!AN21-'Title III'!AN31-G19))</f>
        <v>0.35580569130053941</v>
      </c>
      <c r="G22" s="93"/>
    </row>
    <row r="23" spans="1:9" x14ac:dyDescent="0.2">
      <c r="A23" s="73" t="s">
        <v>107</v>
      </c>
      <c r="C23" s="99">
        <f>IF(('Title III'!AO21-'Title III'!I21-'Title III'!J21-'Title III'!K21-'Title III'!P21-'Title III'!Q21-'Title III'!R21-'Title III'!S21-'Title III'!T21-'Title III'!U21-'Title III'!V21-'Title III'!W21-'Title III'!AK21-'Title III'!AL21-'Title III'!AN21+'Title III'!AO22+'Title III'!AO23)=0," ",('Title III'!AO21-'Title III'!I21-'Title III'!J21-'Title III'!K21-'Title III'!P21-'Title III'!Q21-'Title III'!R21-'Title III'!S21-'Title III'!T21-'Title III'!U21-'Title III'!V21-'Title III'!W21-'Title III'!AK21-'Title III'!AL21-'Title III'!AN21+'Title III'!AO22+'Title III'!AO23-G19))</f>
        <v>246969</v>
      </c>
      <c r="D23" s="166">
        <f>IF('Title III'!AO21-'Title III'!I21-'Title III'!J21-'Title III'!K21-'Title III'!P21-'Title III'!Q21-'Title III'!R21-'Title III'!S21-'Title III'!T21-'Title III'!U21-'Title III'!V21-'Title III'!W21-'Title III'!AK21-'Title III'!AL21-'Title III'!AN21+'Title III'!AO22+'Title III'!AO23+'Title III'!AO26-'Title III'!I26-'Title III'!J26-'Title III'!K26=0," ",('Title III'!AO21-'Title III'!I21-'Title III'!J21-'Title III'!K21-'Title III'!P21-'Title III'!Q21-'Title III'!R21-'Title III'!S21-'Title III'!T21-'Title III'!U21-'Title III'!V21-'Title III'!W21-'Title III'!AK21-'Title III'!AL21-'Title III'!AN21+'Title III'!AO22+'Title III'!AO23+'Title III'!AO26-'Title III'!I26-'Title III'!J26-'Title III'!K26-G19)/('Title III'!AO6+'Title III'!AO14+'Title III'!AO21+'Title III'!AO22+'Title III'!AO23+'Title III'!AO26+'Title III'!AO31-'Title III'!I14-'Title III'!I26-'Title III'!I31-'Title III'!J14-'Title III'!J21-'Title III'!J26-'Title III'!J31-'Title III'!K14-'Title III'!K26-'Title III'!K31-'Title III'!P14-'Title III'!P21-'Title III'!P31 -'Title III'!Q14-'Title III'!Q21-'Title III'!Q31-'Title III'!R14-'Title III'!R21-'Title III'!R31-'Title III'!S14-'Title III'!S21-'Title III'!S31-'Title III'!T14-'Title III'!T21-'Title III'!T31-'Title III'!U14-'Title III'!U21-'Title III'!U31-'Title III'!V14-'Title III'!V21-'Title III'!V31-'Title III'!W14-'Title III'!W21-'Title III'!W31-'Title III'!AK14-'Title III'!AK21-'Title III'!AK31-'Title III'!AL14-'Title III'!AL21-'Title III'!AL31-'Title III'!AN6-'Title III'!AN14-'Title III'!AN21-'Title III'!AN31-G19))</f>
        <v>0.43911069107002904</v>
      </c>
      <c r="G23" s="93"/>
    </row>
    <row r="24" spans="1:9" x14ac:dyDescent="0.2">
      <c r="A24" s="73"/>
      <c r="C24" s="99"/>
      <c r="D24" s="91"/>
      <c r="F24" s="494" t="s">
        <v>108</v>
      </c>
      <c r="G24" s="495"/>
    </row>
    <row r="25" spans="1:9" ht="12.75" customHeight="1" x14ac:dyDescent="0.2">
      <c r="A25" s="47" t="s">
        <v>109</v>
      </c>
      <c r="C25" s="99"/>
      <c r="D25" s="91"/>
      <c r="F25" s="494"/>
      <c r="G25" s="496"/>
    </row>
    <row r="26" spans="1:9" ht="12.75" customHeight="1" x14ac:dyDescent="0.2">
      <c r="A26" s="73" t="s">
        <v>105</v>
      </c>
      <c r="C26" s="99">
        <f>IF('Title III'!P7+'Title III'!S7+'Title III'!T7=0," ",('Title III'!P7+'Title III'!S7+'Title III'!T7))</f>
        <v>291719</v>
      </c>
      <c r="D26" s="165">
        <f>IF('Title III'!P7+'Title III'!S7+'Title III'!T7=0," ",('Title III'!P7+'Title III'!S7+'Title III'!T7)/('Title III'!P7+'Title III'!P14+'Title III'!P21+'Title III'!P25+'Title III'!P31+'Title III'!S7+'Title III'!S14+'Title III'!S21+'Title III'!S25+'Title III'!S31+'Title III'!T7+'Title III'!T14+'Title III'!T21+'Title III'!T25+'Title III'!T31-G24))</f>
        <v>0.84845444180743634</v>
      </c>
      <c r="G26" s="93"/>
    </row>
    <row r="27" spans="1:9" x14ac:dyDescent="0.2">
      <c r="A27" s="73" t="s">
        <v>106</v>
      </c>
      <c r="C27" s="99">
        <f>IF(('Title III'!P14+'Title III'!P21+'Title III'!P25+'Title III'!P31+'Title III'!S14+'Title III'!S21+'Title III'!S25+'Title III'!S31+'Title III'!T14+'Title III'!T21+'Title III'!T25+'Title III'!T31)=0," ",('Title III'!P14+'Title III'!P21+'Title III'!P25+'Title III'!P31+'Title III'!S14+'Title III'!S21+'Title III'!S25+'Title III'!S31+'Title III'!T14+'Title III'!T21+'Title III'!T25+'Title III'!T31-G24))</f>
        <v>52105</v>
      </c>
      <c r="D27" s="166">
        <f>IF(('Title III'!P14+'Title III'!P21+'Title III'!P25+'Title III'!P31+'Title III'!S14+'Title III'!S21+'Title III'!S25+'Title III'!S31+'Title III'!T14+'Title III'!T21+'Title III'!T25+'Title III'!T31)=0," ",('Title III'!P14+'Title III'!P21+'Title III'!P25+'Title III'!P31+'Title III'!S14+'Title III'!S21+'Title III'!S25+'Title III'!S31+'Title III'!T14+'Title III'!T21+'Title III'!T25+'Title III'!T31-G24)/('Title III'!P7+'Title III'!P14+'Title III'!P21+'Title III'!P25+'Title III'!P31+'Title III'!S7+'Title III'!S14+'Title III'!S21+'Title III'!S25+'Title III'!S31+'Title III'!T7+'Title III'!T14+'Title III'!T21+'Title III'!T25+'Title III'!T31-G24))</f>
        <v>0.15154555819256363</v>
      </c>
      <c r="G27" s="93"/>
    </row>
    <row r="28" spans="1:9" x14ac:dyDescent="0.2">
      <c r="A28" s="73" t="s">
        <v>107</v>
      </c>
      <c r="C28" s="99">
        <f>IF(('Title III'!P21+'Title III'!P25+'Title III'!S21+'Title III'!S25+'Title III'!T21+'Title III'!T25)=0," ",('Title III'!P21+'Title III'!P25+'Title III'!S21+'Title III'!S25+'Title III'!T21+'Title III'!T25-G24))</f>
        <v>40105</v>
      </c>
      <c r="D28" s="166">
        <f>IF(('Title III'!P21+'Title III'!P25+'Title III'!S21+'Title III'!S25+'Title III'!T21+'Title III'!T25)=0," ",('Title III'!P21+'Title III'!P25+'Title III'!S21+'Title III'!S25+'Title III'!T21+'Title III'!T25-G24)/( 'Title III'!P7+'Title III'!P14+'Title III'!P21+'Title III'!P25+'Title III'!P31+'Title III'!S7+'Title III'!S14+'Title III'!S21+'Title III'!S25+'Title III'!S31+'Title III'!T7+'Title III'!T14+'Title III'!T21+'Title III'!T25+'Title III'!T31-G24))</f>
        <v>0.11664398064125832</v>
      </c>
      <c r="F28" s="494" t="s">
        <v>110</v>
      </c>
      <c r="G28" s="495"/>
    </row>
    <row r="29" spans="1:9" x14ac:dyDescent="0.2">
      <c r="C29" s="99"/>
      <c r="D29" s="98"/>
      <c r="F29" s="494"/>
      <c r="G29" s="496"/>
    </row>
    <row r="30" spans="1:9" ht="12.75" customHeight="1" x14ac:dyDescent="0.2">
      <c r="A30" s="47" t="s">
        <v>111</v>
      </c>
      <c r="C30" s="99"/>
      <c r="D30" s="91"/>
      <c r="F30" s="96"/>
      <c r="G30" s="93"/>
    </row>
    <row r="31" spans="1:9" ht="12.75" customHeight="1" x14ac:dyDescent="0.2">
      <c r="A31" s="73" t="s">
        <v>105</v>
      </c>
      <c r="C31" s="99">
        <f>IF('Title III'!Q8+'Title III'!S8+'Title III'!T8=0," ",('Title III'!Q8+'Title III'!S8+'Title III'!T8))</f>
        <v>410476</v>
      </c>
      <c r="D31" s="165">
        <f>IF('Title III'!Q8+'Title III'!S8+'Title III'!T8=0," ",('Title III'!Q8+'Title III'!S8+'Title III'!T8)/('Title III'!Q8+'Title III'!Q14+'Title III'!Q21+'Title III'!Q24+'Title III'!Q25+'Title III'!Q31+'Title III'!S8+'Title III'!S14+'Title III'!S21+'Title III'!S25+'Title III'!S31+'Title III'!T8+'Title III'!T14+'Title III'!T21+'Title III'!T25+'Title III'!T31-G28))</f>
        <v>0.72589464451188024</v>
      </c>
    </row>
    <row r="32" spans="1:9" ht="12.75" customHeight="1" x14ac:dyDescent="0.2">
      <c r="A32" s="73" t="s">
        <v>106</v>
      </c>
      <c r="C32" s="99">
        <f>IF(('Title III'!Q14+'Title III'!Q21+'Title III'!Q24+'Title III'!Q25+'Title III'!Q31+'Title III'!S14+'Title III'!S21+'Title III'!S25+'Title III'!S31+'Title III'!T14+'Title III'!T21+'Title III'!T25+'Title III'!T31)=0," ",('Title III'!Q14+'Title III'!Q21+'Title III'!Q24+'Title III'!Q25+'Title III'!Q31+'Title III'!S14+'Title III'!S21+'Title III'!S25+'Title III'!S31+'Title III'!T14+'Title III'!T21+'Title III'!T25+'Title III'!T31-G28))</f>
        <v>155000</v>
      </c>
      <c r="D32" s="166">
        <f>IF(('Title III'!Q14+'Title III'!Q21+'Title III'!Q24+'Title III'!Q25+'Title III'!Q31+'Title III'!S14+'Title III'!S21+'Title III'!S25+'Title III'!S31+'Title III'!T14+'Title III'!T21+'Title III'!T25+'Title III'!T31)=0," ",('Title III'!Q14+'Title III'!Q21+'Title III'!Q24+'Title III'!Q25+'Title III'!Q31+'Title III'!S14+'Title III'!S21+'Title III'!S25+'Title III'!S31+'Title III'!T14+'Title III'!T21+'Title III'!T25+'Title III'!T31-G28)/('Title III'!Q8+'Title III'!Q14+'Title III'!Q21+'Title III'!Q24+'Title III'!Q25+'Title III'!Q31+'Title III'!S8+'Title III'!S14+'Title III'!S21+'Title III'!S25+'Title III'!S31+'Title III'!T8+'Title III'!T14+'Title III'!T21+'Title III'!T25+'Title III'!T31-G28))</f>
        <v>0.27410535548811976</v>
      </c>
      <c r="F32" s="6" t="s">
        <v>112</v>
      </c>
    </row>
    <row r="33" spans="1:8" ht="12.75" customHeight="1" x14ac:dyDescent="0.2">
      <c r="A33" s="73" t="s">
        <v>107</v>
      </c>
      <c r="C33" s="99">
        <f>IF(('Title III'!Q21+'Title III'!Q24+'Title III'!Q25+'Title III'!S21+'Title III'!S25+'Title III'!T21+'Title III'!T25)=0," ",('Title III'!Q21+'Title III'!Q24+'Title III'!Q25+'Title III'!S21+'Title III'!S25+'Title III'!T21+'Title III'!T25-G28))</f>
        <v>155000</v>
      </c>
      <c r="D33" s="166">
        <f>IF(('Title III'!Q21+'Title III'!Q24+'Title III'!Q25+'Title III'!S21+'Title III'!S25+'Title III'!T21+'Title III'!T25)=0," ",('Title III'!Q21+'Title III'!Q24+'Title III'!Q25+'Title III'!S21+'Title III'!S25+'Title III'!T21+'Title III'!T25-G28)/('Title III'!Q8+'Title III'!Q14+'Title III'!Q21+'Title III'!Q24+'Title III'!Q25+'Title III'!Q31+'Title III'!S8+'Title III'!S14+'Title III'!S21+'Title III'!S25+'Title III'!S31+'Title III'!T8+'Title III'!T14+'Title III'!T21+'Title III'!T25+'Title III'!T31-G28))</f>
        <v>0.27410535548811976</v>
      </c>
      <c r="F33" t="s">
        <v>113</v>
      </c>
    </row>
    <row r="34" spans="1:8" x14ac:dyDescent="0.2">
      <c r="F34" t="s">
        <v>114</v>
      </c>
    </row>
    <row r="35" spans="1:8" x14ac:dyDescent="0.2">
      <c r="C35" s="497" t="s">
        <v>115</v>
      </c>
      <c r="D35" s="497" t="s">
        <v>116</v>
      </c>
      <c r="F35" t="s">
        <v>117</v>
      </c>
    </row>
    <row r="36" spans="1:8" x14ac:dyDescent="0.2">
      <c r="A36" s="6" t="s">
        <v>118</v>
      </c>
      <c r="C36" s="497"/>
      <c r="D36" s="497"/>
      <c r="F36" t="s">
        <v>119</v>
      </c>
    </row>
    <row r="37" spans="1:8" x14ac:dyDescent="0.2">
      <c r="A37" s="73" t="s">
        <v>120</v>
      </c>
      <c r="C37" s="119">
        <f>IF(Summary!D14=0,0,-Summary!D14/Summary!D13)</f>
        <v>0</v>
      </c>
      <c r="D37" s="119">
        <f>IF(Summary!D16=0,0,-Summary!D16/Summary!D15)</f>
        <v>0</v>
      </c>
      <c r="F37" t="s">
        <v>121</v>
      </c>
    </row>
    <row r="38" spans="1:8" x14ac:dyDescent="0.2">
      <c r="A38" s="73" t="s">
        <v>122</v>
      </c>
      <c r="C38" s="119">
        <f>IF(Summary!E14=0,0,-Summary!E14/Summary!E13)</f>
        <v>0</v>
      </c>
      <c r="D38" s="119">
        <f>IF(Summary!E16=0,0,-Summary!E16/Summary!E15)</f>
        <v>0</v>
      </c>
    </row>
    <row r="39" spans="1:8" x14ac:dyDescent="0.2">
      <c r="A39" s="73" t="s">
        <v>123</v>
      </c>
      <c r="C39" s="119">
        <f>IF(Summary!F14=0,0,-Summary!F14/Summary!F13)</f>
        <v>0</v>
      </c>
      <c r="D39" s="119">
        <f>IF(Summary!F16=0,0,-Summary!F16/Summary!F15)</f>
        <v>0</v>
      </c>
    </row>
    <row r="40" spans="1:8" x14ac:dyDescent="0.2">
      <c r="A40" s="73" t="s">
        <v>124</v>
      </c>
      <c r="C40" s="124">
        <f>Summary!D14+Summary!E14+Summary!F14</f>
        <v>0</v>
      </c>
      <c r="D40" s="124">
        <f>Summary!D16+Summary!E16+Summary!F16</f>
        <v>0</v>
      </c>
      <c r="F40" s="6" t="s">
        <v>125</v>
      </c>
    </row>
    <row r="41" spans="1:8" x14ac:dyDescent="0.2">
      <c r="D41" s="497" t="s">
        <v>126</v>
      </c>
      <c r="F41" s="73" t="s">
        <v>127</v>
      </c>
      <c r="G41" s="232">
        <f>SUM(Summary!C5:E5)/0.85-SUM(Summary!C5:E5)</f>
        <v>180493.24658823526</v>
      </c>
    </row>
    <row r="42" spans="1:8" x14ac:dyDescent="0.2">
      <c r="A42" s="6" t="s">
        <v>128</v>
      </c>
      <c r="D42" s="497"/>
      <c r="F42" s="73" t="s">
        <v>129</v>
      </c>
      <c r="G42" s="231">
        <f>SUM('Title III'!AO21:AO25)</f>
        <v>441574</v>
      </c>
    </row>
    <row r="43" spans="1:8" x14ac:dyDescent="0.2">
      <c r="A43" s="73" t="s">
        <v>130</v>
      </c>
      <c r="D43" s="119">
        <f>IF(Summary!C6=0,0,-Summary!C6/Summary!C5)</f>
        <v>0</v>
      </c>
      <c r="F43" s="73" t="s">
        <v>125</v>
      </c>
      <c r="G43" s="225">
        <f>MAX(G42-G41,0)</f>
        <v>261080.75341176474</v>
      </c>
    </row>
    <row r="44" spans="1:8" x14ac:dyDescent="0.2">
      <c r="A44" s="73" t="s">
        <v>131</v>
      </c>
      <c r="D44" s="119">
        <f>IF(Summary!D6=0,0,-Summary!D6/Summary!D5)</f>
        <v>0</v>
      </c>
      <c r="F44" s="73"/>
    </row>
    <row r="45" spans="1:8" x14ac:dyDescent="0.2">
      <c r="A45" s="73" t="s">
        <v>132</v>
      </c>
      <c r="D45" s="119">
        <f>IF(Summary!E6=0,0,-Summary!E6/Summary!E5)</f>
        <v>0</v>
      </c>
      <c r="F45" s="96" t="s">
        <v>133</v>
      </c>
      <c r="G45" s="225">
        <f>'Title III'!AO28+'Title III-E'!AE20+'III-E Grandparents'!AD20</f>
        <v>0</v>
      </c>
      <c r="H45" t="s">
        <v>134</v>
      </c>
    </row>
    <row r="46" spans="1:8" x14ac:dyDescent="0.2">
      <c r="A46" s="73" t="s">
        <v>124</v>
      </c>
      <c r="D46" s="124">
        <f>Summary!C6+Summary!D6+Summary!E6</f>
        <v>0</v>
      </c>
      <c r="F46" s="73" t="s">
        <v>135</v>
      </c>
      <c r="G46" s="231">
        <f>'Title III'!AO29</f>
        <v>0</v>
      </c>
    </row>
    <row r="47" spans="1:8" ht="17.25" customHeight="1" x14ac:dyDescent="0.2"/>
    <row r="48" spans="1:8" x14ac:dyDescent="0.2">
      <c r="F48" s="308"/>
      <c r="G48" s="308"/>
    </row>
    <row r="49" spans="1:7" ht="12.75" customHeight="1" x14ac:dyDescent="0.2">
      <c r="F49" s="308"/>
      <c r="G49" s="308"/>
    </row>
    <row r="50" spans="1:7" ht="12.75" customHeight="1" x14ac:dyDescent="0.2">
      <c r="B50" s="492" t="s">
        <v>136</v>
      </c>
      <c r="C50" s="492"/>
      <c r="D50" s="492"/>
      <c r="E50" s="492"/>
      <c r="F50" s="492"/>
      <c r="G50" s="245"/>
    </row>
    <row r="51" spans="1:7" x14ac:dyDescent="0.2">
      <c r="A51" s="70">
        <f>Summary!A30</f>
        <v>45783</v>
      </c>
      <c r="B51" s="492"/>
      <c r="C51" s="492"/>
      <c r="D51" s="492"/>
      <c r="E51" s="492"/>
      <c r="F51" s="492"/>
      <c r="G51" s="245"/>
    </row>
    <row r="52" spans="1:7" x14ac:dyDescent="0.2">
      <c r="B52" s="492"/>
      <c r="C52" s="492"/>
      <c r="D52" s="492"/>
      <c r="E52" s="492"/>
      <c r="F52" s="492"/>
      <c r="G52" s="245"/>
    </row>
    <row r="53" spans="1:7" x14ac:dyDescent="0.2">
      <c r="B53" s="492"/>
      <c r="C53" s="492"/>
      <c r="D53" s="492"/>
      <c r="E53" s="492"/>
      <c r="F53" s="492"/>
      <c r="G53" s="245"/>
    </row>
    <row r="54" spans="1:7" ht="12.75" customHeight="1" x14ac:dyDescent="0.2">
      <c r="B54" s="492"/>
      <c r="C54" s="492"/>
      <c r="D54" s="492"/>
      <c r="E54" s="492"/>
      <c r="F54" s="492"/>
      <c r="G54" s="245"/>
    </row>
    <row r="55" spans="1:7" x14ac:dyDescent="0.2">
      <c r="B55" s="492"/>
      <c r="C55" s="492"/>
      <c r="D55" s="492"/>
      <c r="E55" s="492"/>
      <c r="F55" s="492"/>
      <c r="G55" s="245"/>
    </row>
    <row r="56" spans="1:7" x14ac:dyDescent="0.2">
      <c r="B56" s="492"/>
      <c r="C56" s="492"/>
      <c r="D56" s="492"/>
      <c r="E56" s="492"/>
      <c r="F56" s="492"/>
      <c r="G56" s="245"/>
    </row>
    <row r="57" spans="1:7" x14ac:dyDescent="0.2">
      <c r="B57" s="492"/>
      <c r="C57" s="492"/>
      <c r="D57" s="492"/>
      <c r="E57" s="492"/>
      <c r="F57" s="492"/>
      <c r="G57" s="245"/>
    </row>
    <row r="58" spans="1:7" x14ac:dyDescent="0.2">
      <c r="B58" s="492"/>
      <c r="C58" s="492"/>
      <c r="D58" s="492"/>
      <c r="E58" s="492"/>
      <c r="F58" s="492"/>
      <c r="G58" s="245"/>
    </row>
    <row r="59" spans="1:7" x14ac:dyDescent="0.2">
      <c r="B59" s="492"/>
      <c r="C59" s="492"/>
      <c r="D59" s="492"/>
      <c r="E59" s="492"/>
      <c r="F59" s="492"/>
      <c r="G59" s="308"/>
    </row>
    <row r="60" spans="1:7" x14ac:dyDescent="0.2">
      <c r="B60" s="492"/>
      <c r="C60" s="492"/>
      <c r="D60" s="492"/>
      <c r="E60" s="492"/>
      <c r="F60" s="492"/>
      <c r="G60" s="308"/>
    </row>
    <row r="61" spans="1:7" x14ac:dyDescent="0.2">
      <c r="B61" s="492"/>
      <c r="C61" s="492"/>
      <c r="D61" s="492"/>
      <c r="E61" s="492"/>
      <c r="F61" s="492"/>
    </row>
    <row r="62" spans="1:7" x14ac:dyDescent="0.2">
      <c r="B62" s="308"/>
      <c r="C62" s="308"/>
      <c r="D62" s="308"/>
      <c r="E62" s="308"/>
    </row>
  </sheetData>
  <sheetProtection algorithmName="SHA-512" hashValue="7eCauE0VAnrzf+i16C6TwJHg+MK9Cjqvkfsv2hMVNcvovziVaRWXNa8L2Kd6L1Gz97EYeVHCDmj06VKsG8B9hw==" saltValue="ehpCjtudJ+zj1RJwLwsBQQ==" spinCount="100000" sheet="1" objects="1" scenarios="1"/>
  <mergeCells count="13">
    <mergeCell ref="B50:F61"/>
    <mergeCell ref="A3:B3"/>
    <mergeCell ref="F28:F29"/>
    <mergeCell ref="F24:F25"/>
    <mergeCell ref="G24:G25"/>
    <mergeCell ref="F19:F21"/>
    <mergeCell ref="G19:G21"/>
    <mergeCell ref="A17:B18"/>
    <mergeCell ref="A14:B15"/>
    <mergeCell ref="D41:D42"/>
    <mergeCell ref="C35:C36"/>
    <mergeCell ref="D35:D36"/>
    <mergeCell ref="G28:G29"/>
  </mergeCells>
  <phoneticPr fontId="0" type="noConversion"/>
  <conditionalFormatting sqref="C18">
    <cfRule type="cellIs" dxfId="44" priority="3" operator="lessThan">
      <formula>0</formula>
    </cfRule>
  </conditionalFormatting>
  <conditionalFormatting sqref="C37:D39">
    <cfRule type="cellIs" dxfId="43" priority="12" operator="greaterThan">
      <formula>0.4001</formula>
    </cfRule>
  </conditionalFormatting>
  <conditionalFormatting sqref="C40:D40 D46">
    <cfRule type="cellIs" dxfId="42" priority="4" operator="notEqual">
      <formula>0</formula>
    </cfRule>
  </conditionalFormatting>
  <conditionalFormatting sqref="D5 D22 D27 D32">
    <cfRule type="cellIs" dxfId="41" priority="23" stopIfTrue="1" operator="lessThan">
      <formula>0.14999</formula>
    </cfRule>
  </conditionalFormatting>
  <conditionalFormatting sqref="D5:D7 G5:G7 D10:D12 D15 G16 D21 D26 D31">
    <cfRule type="cellIs" dxfId="40" priority="5" stopIfTrue="1" operator="equal">
      <formula>" "</formula>
    </cfRule>
  </conditionalFormatting>
  <conditionalFormatting sqref="D6 D23 D28 D33">
    <cfRule type="cellIs" dxfId="39" priority="24" stopIfTrue="1" operator="lessThan">
      <formula>0.04999</formula>
    </cfRule>
  </conditionalFormatting>
  <conditionalFormatting sqref="D7">
    <cfRule type="cellIs" dxfId="38" priority="31" stopIfTrue="1" operator="lessThan">
      <formula>0.00999</formula>
    </cfRule>
  </conditionalFormatting>
  <conditionalFormatting sqref="D12">
    <cfRule type="cellIs" dxfId="37" priority="22" stopIfTrue="1" operator="lessThan">
      <formula>0.24999</formula>
    </cfRule>
  </conditionalFormatting>
  <conditionalFormatting sqref="D15">
    <cfRule type="cellIs" dxfId="36" priority="18" stopIfTrue="1" operator="greaterThan">
      <formula>0.05001</formula>
    </cfRule>
  </conditionalFormatting>
  <conditionalFormatting sqref="D21 D26 D31">
    <cfRule type="cellIs" dxfId="35" priority="6" stopIfTrue="1" operator="greaterThan">
      <formula>0.85001</formula>
    </cfRule>
  </conditionalFormatting>
  <conditionalFormatting sqref="D43">
    <cfRule type="cellIs" dxfId="34" priority="8" operator="greaterThan">
      <formula>0.3001</formula>
    </cfRule>
  </conditionalFormatting>
  <conditionalFormatting sqref="D44:D45">
    <cfRule type="cellIs" dxfId="33" priority="7" operator="greaterThan">
      <formula>0.3501</formula>
    </cfRule>
  </conditionalFormatting>
  <conditionalFormatting sqref="G5 D10 G16">
    <cfRule type="cellIs" dxfId="32" priority="10" stopIfTrue="1" operator="greaterThan">
      <formula>0.1001</formula>
    </cfRule>
  </conditionalFormatting>
  <conditionalFormatting sqref="G6:G7 D11">
    <cfRule type="cellIs" dxfId="31" priority="11" stopIfTrue="1" operator="greaterThan">
      <formula>0.75001</formula>
    </cfRule>
  </conditionalFormatting>
  <printOptions headings="1"/>
  <pageMargins left="0.75" right="0.75" top="0.51" bottom="0.21" header="0.28999999999999998" footer="0.5"/>
  <pageSetup scale="66" orientation="landscape" r:id="rId1"/>
  <headerFooter alignWithMargins="0">
    <oddHeader>&amp;C&amp;"Arial,Bold"Spending Requirements Review</oddHeader>
    <oddFooter>&amp;CPage &amp;P of &amp;N&amp;R&amp;6&amp;F&amp;A
Printed &amp;D</oddFooter>
  </headerFooter>
  <extLst>
    <ext xmlns:x14="http://schemas.microsoft.com/office/spreadsheetml/2009/9/main" uri="{78C0D931-6437-407d-A8EE-F0AAD7539E65}">
      <x14:conditionalFormattings>
        <x14:conditionalFormatting xmlns:xm="http://schemas.microsoft.com/office/excel/2006/main">
          <x14:cfRule type="expression" priority="2" id="{F5A2D116-8E0D-48AA-9086-6DF814966652}">
            <xm:f>AND('Title III'!$H$30&gt;0,CCEVP!$E$6:$E$7=0)</xm:f>
            <x14:dxf>
              <fill>
                <patternFill>
                  <bgColor rgb="FFFFFF99"/>
                </patternFill>
              </fill>
            </x14:dxf>
          </x14:cfRule>
          <xm:sqref>G33</xm:sqref>
        </x14:conditionalFormatting>
        <x14:conditionalFormatting xmlns:xm="http://schemas.microsoft.com/office/excel/2006/main">
          <x14:cfRule type="expression" priority="38" id="{8B1BA455-50D6-44C9-8ABB-A2349E9B827D}">
            <xm:f>AND('Title III'!$I$30&gt;0,CCEVP!$E$10:$E$11=0)</xm:f>
            <x14:dxf>
              <fill>
                <patternFill>
                  <bgColor rgb="FFFFFF99"/>
                </patternFill>
              </fill>
            </x14:dxf>
          </x14:cfRule>
          <xm:sqref>G34</xm:sqref>
        </x14:conditionalFormatting>
        <x14:conditionalFormatting xmlns:xm="http://schemas.microsoft.com/office/excel/2006/main">
          <x14:cfRule type="expression" priority="1" id="{A3B9CEAE-6B20-4D0B-BE30-E2676DB6E9C8}">
            <xm:f>AND('Title III'!$J$30&gt;0,CCEVP!$F$14:$F$17=0)</xm:f>
            <x14:dxf>
              <fill>
                <patternFill>
                  <bgColor rgb="FFFFFF99"/>
                </patternFill>
              </fill>
            </x14:dxf>
          </x14:cfRule>
          <xm:sqref>G35</xm:sqref>
        </x14:conditionalFormatting>
        <x14:conditionalFormatting xmlns:xm="http://schemas.microsoft.com/office/excel/2006/main">
          <x14:cfRule type="expression" priority="40" id="{99F8CFD0-E56E-4C9A-82F4-72FE3F70E7BF}">
            <xm:f>AND('Title III'!$K$30&gt;0,CCEVP!$K$6:$K$9=0)</xm:f>
            <x14:dxf>
              <fill>
                <patternFill>
                  <bgColor rgb="FFFFFF99"/>
                </patternFill>
              </fill>
            </x14:dxf>
          </x14:cfRule>
          <xm:sqref>G36</xm:sqref>
        </x14:conditionalFormatting>
        <x14:conditionalFormatting xmlns:xm="http://schemas.microsoft.com/office/excel/2006/main">
          <x14:cfRule type="expression" priority="41" id="{8431CB8E-B07C-4917-A2F4-2DC6E9E2539E}">
            <xm:f>AND('Title III'!$M$30&gt;0,CCEVP!$K$12:$K$13=0)</xm:f>
            <x14:dxf>
              <fill>
                <patternFill>
                  <bgColor rgb="FFFFFF99"/>
                </patternFill>
              </fill>
            </x14:dxf>
          </x14:cfRule>
          <xm:sqref>G37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AP76"/>
  <sheetViews>
    <sheetView showGridLines="0" showZeros="0" zoomScale="90" zoomScaleNormal="90" zoomScaleSheetLayoutView="100" zoomScalePageLayoutView="90" workbookViewId="0">
      <selection activeCell="Q9" sqref="Q9"/>
    </sheetView>
  </sheetViews>
  <sheetFormatPr defaultRowHeight="12.75" x14ac:dyDescent="0.2"/>
  <cols>
    <col min="1" max="1" width="7.85546875" customWidth="1"/>
    <col min="2" max="2" width="27" customWidth="1"/>
    <col min="3" max="11" width="14.85546875" style="9" customWidth="1"/>
    <col min="12" max="12" width="16.140625" style="9" customWidth="1"/>
    <col min="13" max="13" width="15.140625" style="9" customWidth="1"/>
    <col min="14" max="34" width="14.85546875" style="9" customWidth="1"/>
    <col min="35" max="35" width="16.85546875" style="9" customWidth="1"/>
    <col min="36" max="39" width="14.85546875" style="9" customWidth="1"/>
    <col min="40" max="40" width="16.85546875" style="9" customWidth="1"/>
    <col min="41" max="41" width="14.85546875" style="9" customWidth="1"/>
    <col min="42" max="42" width="2.85546875" style="9" customWidth="1"/>
  </cols>
  <sheetData>
    <row r="1" spans="1:42" x14ac:dyDescent="0.2">
      <c r="A1" s="6" t="s">
        <v>80</v>
      </c>
      <c r="B1" s="20">
        <f>Summary!H1</f>
        <v>14</v>
      </c>
      <c r="C1"/>
      <c r="D1" s="246"/>
      <c r="E1" s="246"/>
      <c r="F1" s="246"/>
      <c r="G1" s="246"/>
      <c r="H1" s="246"/>
      <c r="I1" s="246"/>
      <c r="J1" s="246"/>
      <c r="K1" s="246"/>
      <c r="L1" s="246"/>
      <c r="M1"/>
      <c r="N1"/>
      <c r="O1"/>
      <c r="P1"/>
      <c r="Q1"/>
      <c r="R1"/>
      <c r="S1"/>
      <c r="T1"/>
      <c r="U1"/>
      <c r="V1"/>
      <c r="W1"/>
      <c r="X1"/>
      <c r="Y1"/>
      <c r="Z1"/>
      <c r="AA1"/>
      <c r="AB1"/>
      <c r="AC1"/>
      <c r="AD1"/>
      <c r="AE1"/>
      <c r="AF1"/>
      <c r="AG1"/>
      <c r="AH1"/>
      <c r="AI1"/>
      <c r="AJ1"/>
      <c r="AK1"/>
      <c r="AL1"/>
      <c r="AM1"/>
      <c r="AN1"/>
      <c r="AO1" s="247"/>
      <c r="AP1" s="15"/>
    </row>
    <row r="2" spans="1:42" ht="13.5" thickBot="1" x14ac:dyDescent="0.25">
      <c r="A2" s="6"/>
      <c r="B2" s="20"/>
      <c r="C2" s="248" t="s">
        <v>137</v>
      </c>
      <c r="D2" s="249"/>
      <c r="E2" s="249"/>
      <c r="F2" s="249"/>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1"/>
      <c r="AP2" s="15"/>
    </row>
    <row r="3" spans="1:42" ht="16.5" customHeight="1" thickBot="1" x14ac:dyDescent="0.3">
      <c r="A3" s="558" t="s">
        <v>138</v>
      </c>
      <c r="B3" s="559"/>
      <c r="C3" s="498" t="s">
        <v>139</v>
      </c>
      <c r="D3" s="499"/>
      <c r="E3" s="499"/>
      <c r="F3" s="499"/>
      <c r="G3" s="499"/>
      <c r="H3" s="498" t="s">
        <v>140</v>
      </c>
      <c r="I3" s="499"/>
      <c r="J3" s="499"/>
      <c r="K3" s="499"/>
      <c r="L3" s="499"/>
      <c r="M3" s="499"/>
      <c r="N3" s="499"/>
      <c r="O3" s="500"/>
      <c r="P3" s="498" t="s">
        <v>141</v>
      </c>
      <c r="Q3" s="499"/>
      <c r="R3" s="499"/>
      <c r="S3" s="499"/>
      <c r="T3" s="500"/>
      <c r="U3" s="498" t="s">
        <v>142</v>
      </c>
      <c r="V3" s="499"/>
      <c r="W3" s="499"/>
      <c r="X3" s="500"/>
      <c r="Y3" s="498" t="s">
        <v>143</v>
      </c>
      <c r="Z3" s="499"/>
      <c r="AA3" s="499"/>
      <c r="AB3" s="499"/>
      <c r="AC3" s="499"/>
      <c r="AD3" s="499"/>
      <c r="AE3" s="499"/>
      <c r="AF3" s="499"/>
      <c r="AG3" s="499"/>
      <c r="AH3" s="499"/>
      <c r="AI3" s="500"/>
      <c r="AJ3" s="335" t="s">
        <v>144</v>
      </c>
      <c r="AK3" s="498" t="s">
        <v>145</v>
      </c>
      <c r="AL3" s="500"/>
      <c r="AM3" s="357" t="s">
        <v>146</v>
      </c>
      <c r="AN3" s="336" t="s">
        <v>147</v>
      </c>
      <c r="AO3" s="337" t="s">
        <v>148</v>
      </c>
      <c r="AP3" s="17"/>
    </row>
    <row r="4" spans="1:42" s="2" customFormat="1" ht="50.25" customHeight="1" x14ac:dyDescent="0.2">
      <c r="A4" s="562" t="s">
        <v>149</v>
      </c>
      <c r="B4" s="563"/>
      <c r="C4" s="327" t="s">
        <v>150</v>
      </c>
      <c r="D4" s="328" t="s">
        <v>151</v>
      </c>
      <c r="E4" s="328" t="s">
        <v>152</v>
      </c>
      <c r="F4" s="328" t="s">
        <v>153</v>
      </c>
      <c r="G4" s="328" t="s">
        <v>154</v>
      </c>
      <c r="H4" s="353" t="s">
        <v>155</v>
      </c>
      <c r="I4" s="331" t="s">
        <v>156</v>
      </c>
      <c r="J4" s="331" t="s">
        <v>117</v>
      </c>
      <c r="K4" s="327" t="s">
        <v>157</v>
      </c>
      <c r="L4" s="328" t="s">
        <v>158</v>
      </c>
      <c r="M4" s="325" t="s">
        <v>159</v>
      </c>
      <c r="N4" s="325" t="s">
        <v>19</v>
      </c>
      <c r="O4" s="326" t="s">
        <v>160</v>
      </c>
      <c r="P4" s="327" t="s">
        <v>161</v>
      </c>
      <c r="Q4" s="328" t="s">
        <v>20</v>
      </c>
      <c r="R4" s="325" t="s">
        <v>162</v>
      </c>
      <c r="S4" s="328" t="s">
        <v>163</v>
      </c>
      <c r="T4" s="332" t="s">
        <v>164</v>
      </c>
      <c r="U4" s="327" t="s">
        <v>165</v>
      </c>
      <c r="V4" s="328" t="s">
        <v>166</v>
      </c>
      <c r="W4" s="346" t="s">
        <v>167</v>
      </c>
      <c r="X4" s="331" t="s">
        <v>168</v>
      </c>
      <c r="Y4" s="327" t="s">
        <v>169</v>
      </c>
      <c r="Z4" s="327" t="s">
        <v>170</v>
      </c>
      <c r="AA4" s="331" t="s">
        <v>171</v>
      </c>
      <c r="AB4" s="331" t="s">
        <v>172</v>
      </c>
      <c r="AC4" s="328" t="s">
        <v>173</v>
      </c>
      <c r="AD4" s="328" t="s">
        <v>174</v>
      </c>
      <c r="AE4" s="328" t="s">
        <v>175</v>
      </c>
      <c r="AF4" s="328" t="s">
        <v>176</v>
      </c>
      <c r="AG4" s="346" t="s">
        <v>177</v>
      </c>
      <c r="AH4" s="331" t="s">
        <v>178</v>
      </c>
      <c r="AI4" s="326" t="s">
        <v>179</v>
      </c>
      <c r="AJ4" s="333" t="s">
        <v>180</v>
      </c>
      <c r="AK4" s="327" t="s">
        <v>181</v>
      </c>
      <c r="AL4" s="326" t="s">
        <v>182</v>
      </c>
      <c r="AM4" s="358" t="s">
        <v>183</v>
      </c>
      <c r="AN4" s="332" t="s">
        <v>184</v>
      </c>
      <c r="AO4" s="334" t="s">
        <v>185</v>
      </c>
      <c r="AP4" s="18"/>
    </row>
    <row r="5" spans="1:42" s="1" customFormat="1" ht="24" customHeight="1" x14ac:dyDescent="0.2">
      <c r="A5" s="3" t="s">
        <v>186</v>
      </c>
      <c r="B5" s="68"/>
      <c r="C5" s="386"/>
      <c r="D5" s="387"/>
      <c r="E5" s="387"/>
      <c r="F5" s="387"/>
      <c r="G5" s="387"/>
      <c r="H5" s="386"/>
      <c r="I5" s="388"/>
      <c r="J5" s="388"/>
      <c r="K5" s="388"/>
      <c r="L5" s="387"/>
      <c r="M5" s="389"/>
      <c r="N5" s="389"/>
      <c r="O5" s="118"/>
      <c r="P5" s="386"/>
      <c r="Q5" s="387"/>
      <c r="R5" s="389"/>
      <c r="S5" s="118"/>
      <c r="T5" s="118"/>
      <c r="U5" s="386"/>
      <c r="V5" s="387"/>
      <c r="W5" s="390"/>
      <c r="X5" s="387"/>
      <c r="Y5" s="386"/>
      <c r="Z5" s="388"/>
      <c r="AA5" s="388"/>
      <c r="AB5" s="388"/>
      <c r="AC5" s="387"/>
      <c r="AD5" s="387"/>
      <c r="AE5" s="387"/>
      <c r="AF5" s="387"/>
      <c r="AG5" s="387"/>
      <c r="AH5" s="388"/>
      <c r="AI5" s="118"/>
      <c r="AJ5" s="391"/>
      <c r="AK5" s="386"/>
      <c r="AL5" s="118"/>
      <c r="AM5" s="359"/>
      <c r="AN5" s="390"/>
      <c r="AO5" s="392"/>
      <c r="AP5" s="82"/>
    </row>
    <row r="6" spans="1:42" s="1" customFormat="1" x14ac:dyDescent="0.2">
      <c r="A6" s="255"/>
      <c r="B6" s="68" t="s">
        <v>3</v>
      </c>
      <c r="C6" s="83"/>
      <c r="D6" s="140">
        <v>4500</v>
      </c>
      <c r="E6" s="79">
        <v>35000</v>
      </c>
      <c r="F6" s="79">
        <v>113755</v>
      </c>
      <c r="G6" s="79"/>
      <c r="H6" s="83">
        <v>69438</v>
      </c>
      <c r="I6" s="84"/>
      <c r="J6" s="393"/>
      <c r="K6" s="84"/>
      <c r="L6" s="79">
        <v>66324</v>
      </c>
      <c r="M6" s="117"/>
      <c r="N6" s="117"/>
      <c r="O6" s="394"/>
      <c r="P6" s="75"/>
      <c r="Q6" s="76"/>
      <c r="R6" s="78"/>
      <c r="S6" s="76"/>
      <c r="T6" s="85"/>
      <c r="U6" s="83"/>
      <c r="V6" s="79"/>
      <c r="W6" s="79"/>
      <c r="X6" s="393"/>
      <c r="Y6" s="83"/>
      <c r="Z6" s="393"/>
      <c r="AA6" s="393"/>
      <c r="AB6" s="393"/>
      <c r="AC6" s="79"/>
      <c r="AD6" s="395"/>
      <c r="AE6" s="79"/>
      <c r="AF6" s="79">
        <v>74352</v>
      </c>
      <c r="AG6" s="79"/>
      <c r="AH6" s="393"/>
      <c r="AI6" s="394"/>
      <c r="AJ6" s="396">
        <v>25000</v>
      </c>
      <c r="AK6" s="83"/>
      <c r="AL6" s="394">
        <v>951</v>
      </c>
      <c r="AM6" s="360"/>
      <c r="AN6" s="299">
        <v>43258</v>
      </c>
      <c r="AO6" s="81">
        <f t="shared" ref="AO6:AO11" si="0">SUM(C6:AN6)</f>
        <v>432578</v>
      </c>
      <c r="AP6" s="82"/>
    </row>
    <row r="7" spans="1:42" s="1" customFormat="1" x14ac:dyDescent="0.2">
      <c r="A7" s="255"/>
      <c r="B7" s="68" t="s">
        <v>4</v>
      </c>
      <c r="C7" s="75"/>
      <c r="D7" s="76"/>
      <c r="E7" s="76"/>
      <c r="F7" s="76"/>
      <c r="G7" s="76"/>
      <c r="H7" s="75"/>
      <c r="I7" s="84"/>
      <c r="J7" s="84"/>
      <c r="K7" s="84"/>
      <c r="L7" s="76"/>
      <c r="M7" s="78"/>
      <c r="N7" s="78"/>
      <c r="O7" s="77"/>
      <c r="P7" s="83">
        <v>290219</v>
      </c>
      <c r="Q7" s="76"/>
      <c r="R7" s="78"/>
      <c r="S7" s="79">
        <v>1000</v>
      </c>
      <c r="T7" s="79">
        <v>500</v>
      </c>
      <c r="U7" s="75"/>
      <c r="V7" s="76"/>
      <c r="W7" s="76"/>
      <c r="X7" s="84"/>
      <c r="Y7" s="75"/>
      <c r="Z7" s="84"/>
      <c r="AA7" s="84"/>
      <c r="AB7" s="84"/>
      <c r="AC7" s="76"/>
      <c r="AD7" s="76"/>
      <c r="AE7" s="76"/>
      <c r="AF7" s="76"/>
      <c r="AG7" s="76"/>
      <c r="AH7" s="84"/>
      <c r="AI7" s="77"/>
      <c r="AJ7" s="80"/>
      <c r="AK7" s="75"/>
      <c r="AL7" s="77"/>
      <c r="AM7" s="360"/>
      <c r="AN7" s="299">
        <v>32413</v>
      </c>
      <c r="AO7" s="81">
        <f t="shared" si="0"/>
        <v>324132</v>
      </c>
      <c r="AP7" s="82"/>
    </row>
    <row r="8" spans="1:42" s="1" customFormat="1" x14ac:dyDescent="0.2">
      <c r="A8" s="255"/>
      <c r="B8" s="68" t="s">
        <v>5</v>
      </c>
      <c r="C8" s="75"/>
      <c r="D8" s="76"/>
      <c r="E8" s="76"/>
      <c r="F8" s="76"/>
      <c r="G8" s="76"/>
      <c r="H8" s="75"/>
      <c r="I8" s="84"/>
      <c r="J8" s="84"/>
      <c r="K8" s="84"/>
      <c r="L8" s="76"/>
      <c r="M8" s="78"/>
      <c r="N8" s="78"/>
      <c r="O8" s="77"/>
      <c r="P8" s="75"/>
      <c r="Q8" s="79">
        <v>408976</v>
      </c>
      <c r="R8" s="78"/>
      <c r="S8" s="79">
        <v>1000</v>
      </c>
      <c r="T8" s="79">
        <v>500</v>
      </c>
      <c r="U8" s="75"/>
      <c r="V8" s="76"/>
      <c r="W8" s="76"/>
      <c r="X8" s="84"/>
      <c r="Y8" s="75"/>
      <c r="Z8" s="84"/>
      <c r="AA8" s="84"/>
      <c r="AB8" s="84"/>
      <c r="AC8" s="76"/>
      <c r="AD8" s="76"/>
      <c r="AE8" s="76"/>
      <c r="AF8" s="76"/>
      <c r="AG8" s="76"/>
      <c r="AH8" s="84"/>
      <c r="AI8" s="77"/>
      <c r="AJ8" s="80"/>
      <c r="AK8" s="75"/>
      <c r="AL8" s="77"/>
      <c r="AM8" s="360"/>
      <c r="AN8" s="299">
        <f>37609+8000</f>
        <v>45609</v>
      </c>
      <c r="AO8" s="81">
        <f t="shared" si="0"/>
        <v>456085</v>
      </c>
      <c r="AP8" s="82"/>
    </row>
    <row r="9" spans="1:42" s="1" customFormat="1" x14ac:dyDescent="0.2">
      <c r="A9" s="255"/>
      <c r="B9" s="68" t="s">
        <v>6</v>
      </c>
      <c r="C9" s="75"/>
      <c r="D9" s="76"/>
      <c r="E9" s="76"/>
      <c r="F9" s="76"/>
      <c r="G9" s="76"/>
      <c r="H9" s="75"/>
      <c r="I9" s="84"/>
      <c r="J9" s="393"/>
      <c r="K9" s="84"/>
      <c r="L9" s="76"/>
      <c r="M9" s="78"/>
      <c r="N9" s="78"/>
      <c r="O9" s="77"/>
      <c r="P9" s="75"/>
      <c r="Q9" s="76"/>
      <c r="R9" s="78"/>
      <c r="S9" s="76"/>
      <c r="T9" s="85"/>
      <c r="U9" s="83">
        <v>47293</v>
      </c>
      <c r="V9" s="79"/>
      <c r="W9" s="79"/>
      <c r="X9" s="84"/>
      <c r="Y9" s="75"/>
      <c r="Z9" s="84"/>
      <c r="AA9" s="84"/>
      <c r="AB9" s="84"/>
      <c r="AC9" s="76"/>
      <c r="AD9" s="397"/>
      <c r="AE9" s="76"/>
      <c r="AF9" s="76"/>
      <c r="AG9" s="76"/>
      <c r="AH9" s="84"/>
      <c r="AI9" s="77"/>
      <c r="AJ9" s="80"/>
      <c r="AK9" s="75"/>
      <c r="AL9" s="77"/>
      <c r="AM9" s="360"/>
      <c r="AN9" s="85"/>
      <c r="AO9" s="81">
        <f t="shared" si="0"/>
        <v>47293</v>
      </c>
      <c r="AP9" s="82"/>
    </row>
    <row r="10" spans="1:42" s="1" customFormat="1" x14ac:dyDescent="0.2">
      <c r="A10" s="255"/>
      <c r="B10" s="68" t="s">
        <v>187</v>
      </c>
      <c r="C10" s="75"/>
      <c r="D10" s="76"/>
      <c r="E10" s="76"/>
      <c r="F10" s="76"/>
      <c r="G10" s="76"/>
      <c r="H10" s="75"/>
      <c r="I10" s="84"/>
      <c r="J10" s="84"/>
      <c r="K10" s="84"/>
      <c r="L10" s="76"/>
      <c r="M10" s="78"/>
      <c r="N10" s="78"/>
      <c r="O10" s="77"/>
      <c r="P10" s="75"/>
      <c r="Q10" s="76"/>
      <c r="R10" s="78"/>
      <c r="S10" s="76"/>
      <c r="T10" s="85"/>
      <c r="U10" s="75"/>
      <c r="V10" s="76"/>
      <c r="W10" s="76"/>
      <c r="X10" s="84"/>
      <c r="Y10" s="75"/>
      <c r="Z10" s="84"/>
      <c r="AA10" s="84"/>
      <c r="AB10" s="84"/>
      <c r="AC10" s="76"/>
      <c r="AD10" s="76"/>
      <c r="AE10" s="76"/>
      <c r="AF10" s="76"/>
      <c r="AG10" s="76"/>
      <c r="AH10" s="84"/>
      <c r="AI10" s="77"/>
      <c r="AJ10" s="80"/>
      <c r="AK10" s="75"/>
      <c r="AL10" s="394">
        <v>13681</v>
      </c>
      <c r="AM10" s="361"/>
      <c r="AN10" s="85"/>
      <c r="AO10" s="81">
        <f t="shared" si="0"/>
        <v>13681</v>
      </c>
      <c r="AP10" s="82"/>
    </row>
    <row r="11" spans="1:42" s="1" customFormat="1" x14ac:dyDescent="0.2">
      <c r="A11" s="255"/>
      <c r="B11" s="68" t="s">
        <v>188</v>
      </c>
      <c r="C11" s="75"/>
      <c r="D11" s="76"/>
      <c r="E11" s="76"/>
      <c r="F11" s="76"/>
      <c r="G11" s="76"/>
      <c r="H11" s="75"/>
      <c r="I11" s="84"/>
      <c r="J11" s="84"/>
      <c r="K11" s="84"/>
      <c r="L11" s="76"/>
      <c r="M11" s="78"/>
      <c r="N11" s="78"/>
      <c r="O11" s="77"/>
      <c r="P11" s="75"/>
      <c r="Q11" s="76"/>
      <c r="R11" s="78"/>
      <c r="S11" s="76"/>
      <c r="T11" s="85"/>
      <c r="U11" s="75"/>
      <c r="V11" s="76"/>
      <c r="W11" s="76"/>
      <c r="X11" s="84"/>
      <c r="Y11" s="75"/>
      <c r="Z11" s="84"/>
      <c r="AA11" s="84"/>
      <c r="AB11" s="84"/>
      <c r="AC11" s="76"/>
      <c r="AD11" s="76"/>
      <c r="AE11" s="76"/>
      <c r="AF11" s="76"/>
      <c r="AG11" s="76"/>
      <c r="AH11" s="84"/>
      <c r="AI11" s="77"/>
      <c r="AJ11" s="80"/>
      <c r="AK11" s="83"/>
      <c r="AL11" s="394">
        <v>3326</v>
      </c>
      <c r="AM11" s="361"/>
      <c r="AN11" s="85"/>
      <c r="AO11" s="81">
        <f t="shared" si="0"/>
        <v>3326</v>
      </c>
      <c r="AP11" s="82"/>
    </row>
    <row r="12" spans="1:42" s="1" customFormat="1" x14ac:dyDescent="0.2">
      <c r="A12" s="3" t="s">
        <v>189</v>
      </c>
      <c r="B12" s="68"/>
      <c r="C12" s="386"/>
      <c r="D12" s="387"/>
      <c r="E12" s="387"/>
      <c r="F12" s="387"/>
      <c r="G12" s="387"/>
      <c r="H12" s="386"/>
      <c r="I12" s="388"/>
      <c r="J12" s="388"/>
      <c r="K12" s="388"/>
      <c r="L12" s="387"/>
      <c r="M12" s="389"/>
      <c r="N12" s="389"/>
      <c r="O12" s="118"/>
      <c r="P12" s="386"/>
      <c r="Q12" s="387"/>
      <c r="R12" s="389"/>
      <c r="S12" s="118"/>
      <c r="T12" s="118"/>
      <c r="U12" s="386"/>
      <c r="V12" s="387"/>
      <c r="W12" s="390"/>
      <c r="X12" s="387"/>
      <c r="Y12" s="386"/>
      <c r="Z12" s="388"/>
      <c r="AA12" s="388"/>
      <c r="AB12" s="388"/>
      <c r="AC12" s="387"/>
      <c r="AD12" s="387"/>
      <c r="AE12" s="387"/>
      <c r="AF12" s="387"/>
      <c r="AG12" s="387"/>
      <c r="AH12" s="388"/>
      <c r="AI12" s="118"/>
      <c r="AJ12" s="391"/>
      <c r="AK12" s="386"/>
      <c r="AL12" s="118"/>
      <c r="AM12" s="359"/>
      <c r="AN12" s="390"/>
      <c r="AO12" s="392"/>
      <c r="AP12" s="82"/>
    </row>
    <row r="13" spans="1:42" s="1" customFormat="1" x14ac:dyDescent="0.2">
      <c r="A13" s="255"/>
      <c r="B13" s="68" t="s">
        <v>190</v>
      </c>
      <c r="C13" s="83"/>
      <c r="D13" s="79"/>
      <c r="E13" s="79"/>
      <c r="F13" s="79"/>
      <c r="G13" s="79"/>
      <c r="H13" s="83">
        <v>3000</v>
      </c>
      <c r="I13" s="393"/>
      <c r="J13" s="393"/>
      <c r="K13" s="393"/>
      <c r="L13" s="79"/>
      <c r="M13" s="117"/>
      <c r="N13" s="117"/>
      <c r="O13" s="394"/>
      <c r="P13" s="83"/>
      <c r="Q13" s="79"/>
      <c r="R13" s="78"/>
      <c r="S13" s="76"/>
      <c r="T13" s="85"/>
      <c r="U13" s="83"/>
      <c r="V13" s="79"/>
      <c r="W13" s="79"/>
      <c r="X13" s="393"/>
      <c r="Y13" s="83"/>
      <c r="Z13" s="393"/>
      <c r="AA13" s="393"/>
      <c r="AB13" s="393"/>
      <c r="AC13" s="79"/>
      <c r="AD13" s="79"/>
      <c r="AE13" s="79"/>
      <c r="AF13" s="79"/>
      <c r="AG13" s="79"/>
      <c r="AH13" s="393"/>
      <c r="AI13" s="394"/>
      <c r="AJ13" s="396"/>
      <c r="AK13" s="83"/>
      <c r="AL13" s="394"/>
      <c r="AM13" s="361"/>
      <c r="AN13" s="85"/>
      <c r="AO13" s="81">
        <f>SUM(C13:AN13)</f>
        <v>3000</v>
      </c>
      <c r="AP13" s="82"/>
    </row>
    <row r="14" spans="1:42" s="1" customFormat="1" x14ac:dyDescent="0.2">
      <c r="A14" s="255"/>
      <c r="B14" s="68" t="s">
        <v>191</v>
      </c>
      <c r="C14" s="83"/>
      <c r="D14" s="79"/>
      <c r="E14" s="79"/>
      <c r="F14" s="79"/>
      <c r="G14" s="79"/>
      <c r="H14" s="83"/>
      <c r="I14" s="393"/>
      <c r="J14" s="393"/>
      <c r="K14" s="393"/>
      <c r="L14" s="79"/>
      <c r="M14" s="117"/>
      <c r="N14" s="117"/>
      <c r="O14" s="394"/>
      <c r="P14" s="83">
        <v>12000</v>
      </c>
      <c r="Q14" s="79"/>
      <c r="R14" s="117"/>
      <c r="S14" s="79"/>
      <c r="T14" s="299"/>
      <c r="U14" s="83"/>
      <c r="V14" s="79"/>
      <c r="W14" s="79"/>
      <c r="X14" s="393"/>
      <c r="Y14" s="83"/>
      <c r="Z14" s="393"/>
      <c r="AA14" s="393"/>
      <c r="AB14" s="393"/>
      <c r="AC14" s="79"/>
      <c r="AD14" s="79"/>
      <c r="AE14" s="79"/>
      <c r="AF14" s="79"/>
      <c r="AG14" s="79"/>
      <c r="AH14" s="393"/>
      <c r="AI14" s="394"/>
      <c r="AJ14" s="396"/>
      <c r="AK14" s="83"/>
      <c r="AL14" s="394"/>
      <c r="AM14" s="361"/>
      <c r="AN14" s="299">
        <v>188424</v>
      </c>
      <c r="AO14" s="81">
        <f>SUM(C14:AN14)</f>
        <v>200424</v>
      </c>
      <c r="AP14" s="82"/>
    </row>
    <row r="15" spans="1:42" s="1" customFormat="1" x14ac:dyDescent="0.2">
      <c r="A15" s="255"/>
      <c r="B15" s="68" t="s">
        <v>192</v>
      </c>
      <c r="C15" s="83"/>
      <c r="D15" s="79"/>
      <c r="E15" s="79"/>
      <c r="F15" s="79"/>
      <c r="G15" s="79"/>
      <c r="H15" s="398"/>
      <c r="I15" s="393"/>
      <c r="J15" s="84"/>
      <c r="K15" s="84"/>
      <c r="L15" s="76"/>
      <c r="M15" s="78"/>
      <c r="N15" s="117"/>
      <c r="O15" s="394"/>
      <c r="P15" s="75"/>
      <c r="Q15" s="76"/>
      <c r="R15" s="117"/>
      <c r="S15" s="79"/>
      <c r="T15" s="299"/>
      <c r="U15" s="83"/>
      <c r="V15" s="79"/>
      <c r="W15" s="79"/>
      <c r="X15" s="393"/>
      <c r="Y15" s="83"/>
      <c r="Z15" s="393"/>
      <c r="AA15" s="393"/>
      <c r="AB15" s="393"/>
      <c r="AC15" s="79"/>
      <c r="AD15" s="79"/>
      <c r="AE15" s="79"/>
      <c r="AF15" s="76"/>
      <c r="AG15" s="79"/>
      <c r="AH15" s="393"/>
      <c r="AI15" s="394"/>
      <c r="AJ15" s="80"/>
      <c r="AK15" s="75"/>
      <c r="AL15" s="77"/>
      <c r="AM15" s="361"/>
      <c r="AN15" s="85"/>
      <c r="AO15" s="81">
        <f>SUM(C15:AN15)</f>
        <v>0</v>
      </c>
      <c r="AP15" s="82"/>
    </row>
    <row r="16" spans="1:42" s="1" customFormat="1" x14ac:dyDescent="0.2">
      <c r="A16" s="3" t="s">
        <v>193</v>
      </c>
      <c r="B16" s="68"/>
      <c r="C16" s="399"/>
      <c r="D16" s="387"/>
      <c r="E16" s="387"/>
      <c r="F16" s="387"/>
      <c r="G16" s="387"/>
      <c r="H16" s="400"/>
      <c r="I16" s="401"/>
      <c r="J16" s="401"/>
      <c r="K16" s="401"/>
      <c r="L16" s="387"/>
      <c r="M16" s="389"/>
      <c r="N16" s="389"/>
      <c r="O16" s="118"/>
      <c r="P16" s="386"/>
      <c r="Q16" s="387"/>
      <c r="R16" s="389"/>
      <c r="S16" s="118"/>
      <c r="T16" s="118"/>
      <c r="U16" s="386"/>
      <c r="V16" s="387"/>
      <c r="W16" s="390"/>
      <c r="X16" s="387"/>
      <c r="Y16" s="386"/>
      <c r="Z16" s="388"/>
      <c r="AA16" s="388"/>
      <c r="AB16" s="388"/>
      <c r="AC16" s="387"/>
      <c r="AD16" s="387"/>
      <c r="AE16" s="387"/>
      <c r="AF16" s="387"/>
      <c r="AG16" s="387"/>
      <c r="AH16" s="388"/>
      <c r="AI16" s="118"/>
      <c r="AJ16" s="391"/>
      <c r="AK16" s="400"/>
      <c r="AL16" s="118"/>
      <c r="AM16" s="359"/>
      <c r="AN16" s="390"/>
      <c r="AO16" s="392"/>
      <c r="AP16" s="82"/>
    </row>
    <row r="17" spans="1:42" s="1" customFormat="1" x14ac:dyDescent="0.2">
      <c r="A17" s="255"/>
      <c r="B17" s="68" t="s">
        <v>194</v>
      </c>
      <c r="C17" s="402"/>
      <c r="D17" s="76"/>
      <c r="E17" s="76"/>
      <c r="F17" s="76"/>
      <c r="G17" s="76"/>
      <c r="H17" s="398"/>
      <c r="I17" s="403"/>
      <c r="J17" s="403"/>
      <c r="K17" s="403"/>
      <c r="L17" s="76"/>
      <c r="M17" s="78"/>
      <c r="N17" s="78"/>
      <c r="O17" s="77"/>
      <c r="P17" s="75"/>
      <c r="Q17" s="76"/>
      <c r="R17" s="78"/>
      <c r="S17" s="76"/>
      <c r="T17" s="85"/>
      <c r="U17" s="75"/>
      <c r="V17" s="76"/>
      <c r="W17" s="76"/>
      <c r="X17" s="84"/>
      <c r="Y17" s="75"/>
      <c r="Z17" s="84"/>
      <c r="AA17" s="84"/>
      <c r="AB17" s="84"/>
      <c r="AC17" s="76"/>
      <c r="AD17" s="76"/>
      <c r="AE17" s="76"/>
      <c r="AF17" s="76"/>
      <c r="AG17" s="76"/>
      <c r="AH17" s="84"/>
      <c r="AI17" s="77"/>
      <c r="AJ17" s="80"/>
      <c r="AK17" s="398"/>
      <c r="AL17" s="394">
        <v>1914</v>
      </c>
      <c r="AM17" s="361"/>
      <c r="AN17" s="85"/>
      <c r="AO17" s="81">
        <f>SUM(C17:AN17)</f>
        <v>1914</v>
      </c>
      <c r="AP17" s="82"/>
    </row>
    <row r="18" spans="1:42" s="1" customFormat="1" x14ac:dyDescent="0.2">
      <c r="A18" s="255"/>
      <c r="B18" s="68" t="s">
        <v>195</v>
      </c>
      <c r="C18" s="83"/>
      <c r="D18" s="79"/>
      <c r="E18" s="79"/>
      <c r="F18" s="79"/>
      <c r="G18" s="79"/>
      <c r="H18" s="83"/>
      <c r="I18" s="393"/>
      <c r="J18" s="393"/>
      <c r="K18" s="393"/>
      <c r="L18" s="79"/>
      <c r="M18" s="117"/>
      <c r="N18" s="117"/>
      <c r="O18" s="394"/>
      <c r="P18" s="83"/>
      <c r="Q18" s="79"/>
      <c r="R18" s="117"/>
      <c r="S18" s="79"/>
      <c r="T18" s="299"/>
      <c r="U18" s="83"/>
      <c r="V18" s="79"/>
      <c r="W18" s="79"/>
      <c r="X18" s="393"/>
      <c r="Y18" s="83"/>
      <c r="Z18" s="393"/>
      <c r="AA18" s="393"/>
      <c r="AB18" s="393"/>
      <c r="AC18" s="79"/>
      <c r="AD18" s="79"/>
      <c r="AE18" s="79"/>
      <c r="AF18" s="79"/>
      <c r="AG18" s="79"/>
      <c r="AH18" s="393"/>
      <c r="AI18" s="394"/>
      <c r="AJ18" s="396"/>
      <c r="AK18" s="83"/>
      <c r="AL18" s="394"/>
      <c r="AM18" s="361"/>
      <c r="AN18" s="299"/>
      <c r="AO18" s="81">
        <f>SUM(C18:AN18)</f>
        <v>0</v>
      </c>
      <c r="AP18" s="82"/>
    </row>
    <row r="19" spans="1:42" s="1" customFormat="1" x14ac:dyDescent="0.2">
      <c r="A19" s="255"/>
      <c r="B19" s="68" t="s">
        <v>9</v>
      </c>
      <c r="C19" s="75"/>
      <c r="D19" s="76"/>
      <c r="E19" s="76"/>
      <c r="F19" s="76"/>
      <c r="G19" s="76"/>
      <c r="H19" s="75"/>
      <c r="I19" s="84"/>
      <c r="J19" s="84"/>
      <c r="K19" s="84"/>
      <c r="L19" s="76"/>
      <c r="M19" s="78"/>
      <c r="N19" s="78"/>
      <c r="O19" s="77"/>
      <c r="P19" s="83">
        <v>15236</v>
      </c>
      <c r="Q19" s="79">
        <v>22438</v>
      </c>
      <c r="R19" s="78"/>
      <c r="S19" s="76"/>
      <c r="T19" s="84"/>
      <c r="U19" s="75"/>
      <c r="V19" s="76"/>
      <c r="W19" s="76"/>
      <c r="X19" s="84"/>
      <c r="Y19" s="75"/>
      <c r="Z19" s="84"/>
      <c r="AA19" s="84"/>
      <c r="AB19" s="84"/>
      <c r="AC19" s="76"/>
      <c r="AD19" s="76"/>
      <c r="AE19" s="76"/>
      <c r="AF19" s="76"/>
      <c r="AG19" s="76"/>
      <c r="AH19" s="84"/>
      <c r="AI19" s="77"/>
      <c r="AJ19" s="80"/>
      <c r="AK19" s="75"/>
      <c r="AL19" s="77"/>
      <c r="AM19" s="361"/>
      <c r="AN19" s="85"/>
      <c r="AO19" s="81">
        <f>SUM(C19:AN19)</f>
        <v>37674</v>
      </c>
      <c r="AP19" s="82"/>
    </row>
    <row r="20" spans="1:42" s="1" customFormat="1" x14ac:dyDescent="0.2">
      <c r="A20" s="3" t="s">
        <v>196</v>
      </c>
      <c r="B20" s="68"/>
      <c r="C20" s="386"/>
      <c r="D20" s="387"/>
      <c r="E20" s="387"/>
      <c r="F20" s="387"/>
      <c r="G20" s="387"/>
      <c r="H20" s="386"/>
      <c r="I20" s="388"/>
      <c r="J20" s="388"/>
      <c r="K20" s="388"/>
      <c r="L20" s="387"/>
      <c r="M20" s="389"/>
      <c r="N20" s="389"/>
      <c r="O20" s="118"/>
      <c r="P20" s="386"/>
      <c r="Q20" s="387"/>
      <c r="R20" s="389"/>
      <c r="S20" s="118"/>
      <c r="T20" s="118"/>
      <c r="U20" s="386"/>
      <c r="V20" s="387"/>
      <c r="W20" s="390"/>
      <c r="X20" s="387"/>
      <c r="Y20" s="386"/>
      <c r="Z20" s="388"/>
      <c r="AA20" s="388"/>
      <c r="AB20" s="388"/>
      <c r="AC20" s="387"/>
      <c r="AD20" s="387"/>
      <c r="AE20" s="387"/>
      <c r="AF20" s="387"/>
      <c r="AG20" s="387"/>
      <c r="AH20" s="388"/>
      <c r="AI20" s="118"/>
      <c r="AJ20" s="391"/>
      <c r="AK20" s="386"/>
      <c r="AL20" s="118"/>
      <c r="AM20" s="359"/>
      <c r="AN20" s="390"/>
      <c r="AO20" s="392"/>
      <c r="AP20" s="82"/>
    </row>
    <row r="21" spans="1:42" s="1" customFormat="1" x14ac:dyDescent="0.2">
      <c r="A21" s="255"/>
      <c r="B21" s="68" t="s">
        <v>17</v>
      </c>
      <c r="C21" s="83"/>
      <c r="D21" s="79"/>
      <c r="E21" s="79">
        <v>6000</v>
      </c>
      <c r="F21" s="79">
        <v>78514</v>
      </c>
      <c r="G21" s="79"/>
      <c r="H21" s="83"/>
      <c r="I21" s="84"/>
      <c r="J21" s="393"/>
      <c r="K21" s="84"/>
      <c r="L21" s="79">
        <v>4000</v>
      </c>
      <c r="M21" s="117"/>
      <c r="N21" s="117">
        <v>1000</v>
      </c>
      <c r="O21" s="394"/>
      <c r="P21" s="83">
        <v>1000</v>
      </c>
      <c r="Q21" s="79">
        <v>1000</v>
      </c>
      <c r="R21" s="117"/>
      <c r="S21" s="79">
        <v>1000</v>
      </c>
      <c r="T21" s="299">
        <v>500</v>
      </c>
      <c r="U21" s="83">
        <v>500</v>
      </c>
      <c r="V21" s="79"/>
      <c r="W21" s="79"/>
      <c r="X21" s="393"/>
      <c r="Y21" s="83"/>
      <c r="Z21" s="393"/>
      <c r="AA21" s="393"/>
      <c r="AB21" s="393"/>
      <c r="AC21" s="79"/>
      <c r="AD21" s="79"/>
      <c r="AE21" s="79"/>
      <c r="AF21" s="79">
        <v>3000</v>
      </c>
      <c r="AG21" s="79"/>
      <c r="AH21" s="393"/>
      <c r="AI21" s="394"/>
      <c r="AJ21" s="396">
        <v>5000</v>
      </c>
      <c r="AK21" s="83"/>
      <c r="AL21" s="394"/>
      <c r="AM21" s="361"/>
      <c r="AN21" s="299">
        <v>2000</v>
      </c>
      <c r="AO21" s="81">
        <f t="shared" ref="AO21:AO31" si="1">SUM(C21:AN21)</f>
        <v>103514</v>
      </c>
      <c r="AP21" s="82"/>
    </row>
    <row r="22" spans="1:42" s="1" customFormat="1" x14ac:dyDescent="0.2">
      <c r="A22" s="255"/>
      <c r="B22" s="68" t="s">
        <v>18</v>
      </c>
      <c r="C22" s="83"/>
      <c r="D22" s="79">
        <v>4500</v>
      </c>
      <c r="E22" s="79"/>
      <c r="F22" s="79">
        <v>98573</v>
      </c>
      <c r="G22" s="79"/>
      <c r="H22" s="75"/>
      <c r="I22" s="84"/>
      <c r="J22" s="84"/>
      <c r="K22" s="84"/>
      <c r="L22" s="76"/>
      <c r="M22" s="78"/>
      <c r="N22" s="78"/>
      <c r="O22" s="77"/>
      <c r="P22" s="75"/>
      <c r="Q22" s="76"/>
      <c r="R22" s="78"/>
      <c r="S22" s="76"/>
      <c r="T22" s="85"/>
      <c r="U22" s="75"/>
      <c r="V22" s="76"/>
      <c r="W22" s="76"/>
      <c r="X22" s="84"/>
      <c r="Y22" s="75"/>
      <c r="Z22" s="84"/>
      <c r="AA22" s="84"/>
      <c r="AB22" s="84"/>
      <c r="AC22" s="76"/>
      <c r="AD22" s="76"/>
      <c r="AE22" s="79"/>
      <c r="AF22" s="76"/>
      <c r="AG22" s="76"/>
      <c r="AH22" s="84"/>
      <c r="AI22" s="77"/>
      <c r="AJ22" s="80"/>
      <c r="AK22" s="75"/>
      <c r="AL22" s="77"/>
      <c r="AM22" s="361"/>
      <c r="AN22" s="85"/>
      <c r="AO22" s="81">
        <f t="shared" si="1"/>
        <v>103073</v>
      </c>
      <c r="AP22" s="82"/>
    </row>
    <row r="23" spans="1:42" s="1" customFormat="1" x14ac:dyDescent="0.2">
      <c r="A23" s="255"/>
      <c r="B23" s="68" t="s">
        <v>19</v>
      </c>
      <c r="C23" s="75"/>
      <c r="D23" s="76"/>
      <c r="E23" s="76"/>
      <c r="F23" s="76"/>
      <c r="G23" s="76"/>
      <c r="H23" s="75"/>
      <c r="I23" s="84"/>
      <c r="J23" s="84"/>
      <c r="K23" s="84"/>
      <c r="L23" s="76"/>
      <c r="M23" s="78"/>
      <c r="N23" s="117">
        <v>46382</v>
      </c>
      <c r="O23" s="394"/>
      <c r="P23" s="75"/>
      <c r="Q23" s="76"/>
      <c r="R23" s="78"/>
      <c r="S23" s="76"/>
      <c r="T23" s="85"/>
      <c r="U23" s="75"/>
      <c r="V23" s="76"/>
      <c r="W23" s="76"/>
      <c r="X23" s="84"/>
      <c r="Y23" s="75"/>
      <c r="Z23" s="84"/>
      <c r="AA23" s="84"/>
      <c r="AB23" s="84"/>
      <c r="AC23" s="76"/>
      <c r="AD23" s="76"/>
      <c r="AE23" s="76"/>
      <c r="AF23" s="76"/>
      <c r="AG23" s="76"/>
      <c r="AH23" s="84"/>
      <c r="AI23" s="77"/>
      <c r="AJ23" s="80"/>
      <c r="AK23" s="75"/>
      <c r="AL23" s="77"/>
      <c r="AM23" s="361"/>
      <c r="AN23" s="85"/>
      <c r="AO23" s="81">
        <f t="shared" si="1"/>
        <v>46382</v>
      </c>
      <c r="AP23" s="82"/>
    </row>
    <row r="24" spans="1:42" s="1" customFormat="1" x14ac:dyDescent="0.2">
      <c r="A24" s="255"/>
      <c r="B24" s="68" t="s">
        <v>20</v>
      </c>
      <c r="C24" s="75"/>
      <c r="D24" s="76"/>
      <c r="E24" s="76"/>
      <c r="F24" s="76"/>
      <c r="G24" s="76"/>
      <c r="H24" s="75"/>
      <c r="I24" s="84"/>
      <c r="J24" s="84"/>
      <c r="K24" s="84"/>
      <c r="L24" s="76"/>
      <c r="M24" s="78"/>
      <c r="N24" s="78"/>
      <c r="O24" s="77"/>
      <c r="P24" s="75"/>
      <c r="Q24" s="79">
        <v>149000</v>
      </c>
      <c r="R24" s="117"/>
      <c r="S24" s="76"/>
      <c r="T24" s="85"/>
      <c r="U24" s="75"/>
      <c r="V24" s="76"/>
      <c r="W24" s="76"/>
      <c r="X24" s="84"/>
      <c r="Y24" s="75"/>
      <c r="Z24" s="84"/>
      <c r="AA24" s="84"/>
      <c r="AB24" s="84"/>
      <c r="AC24" s="76"/>
      <c r="AD24" s="76"/>
      <c r="AE24" s="76"/>
      <c r="AF24" s="76"/>
      <c r="AG24" s="76"/>
      <c r="AH24" s="84"/>
      <c r="AI24" s="77"/>
      <c r="AJ24" s="80"/>
      <c r="AK24" s="75"/>
      <c r="AL24" s="77"/>
      <c r="AM24" s="361"/>
      <c r="AN24" s="85"/>
      <c r="AO24" s="81">
        <f t="shared" si="1"/>
        <v>149000</v>
      </c>
      <c r="AP24" s="82"/>
    </row>
    <row r="25" spans="1:42" s="73" customFormat="1" x14ac:dyDescent="0.2">
      <c r="A25" s="255"/>
      <c r="B25" s="68" t="s">
        <v>21</v>
      </c>
      <c r="C25" s="75"/>
      <c r="D25" s="76"/>
      <c r="E25" s="76"/>
      <c r="F25" s="76"/>
      <c r="G25" s="76"/>
      <c r="H25" s="75"/>
      <c r="I25" s="84"/>
      <c r="J25" s="76"/>
      <c r="K25" s="84"/>
      <c r="L25" s="78"/>
      <c r="M25" s="78"/>
      <c r="N25" s="78"/>
      <c r="O25" s="77"/>
      <c r="P25" s="83">
        <v>36105</v>
      </c>
      <c r="Q25" s="79">
        <v>2000</v>
      </c>
      <c r="R25" s="117"/>
      <c r="S25" s="79">
        <v>1000</v>
      </c>
      <c r="T25" s="299">
        <v>500</v>
      </c>
      <c r="U25" s="75"/>
      <c r="V25" s="76"/>
      <c r="W25" s="76"/>
      <c r="X25" s="84"/>
      <c r="Y25" s="75"/>
      <c r="Z25" s="84"/>
      <c r="AA25" s="84"/>
      <c r="AB25" s="84"/>
      <c r="AC25" s="76"/>
      <c r="AD25" s="76"/>
      <c r="AE25" s="84"/>
      <c r="AF25" s="76"/>
      <c r="AG25" s="76"/>
      <c r="AH25" s="84"/>
      <c r="AI25" s="77"/>
      <c r="AJ25" s="80"/>
      <c r="AK25" s="75"/>
      <c r="AL25" s="77"/>
      <c r="AM25" s="361"/>
      <c r="AN25" s="85"/>
      <c r="AO25" s="81">
        <f t="shared" si="1"/>
        <v>39605</v>
      </c>
      <c r="AP25" s="82"/>
    </row>
    <row r="26" spans="1:42" s="1" customFormat="1" x14ac:dyDescent="0.2">
      <c r="A26" s="255"/>
      <c r="B26" s="68" t="s">
        <v>22</v>
      </c>
      <c r="C26" s="75"/>
      <c r="D26" s="76"/>
      <c r="E26" s="76"/>
      <c r="F26" s="76"/>
      <c r="G26" s="76"/>
      <c r="H26" s="83">
        <v>54823</v>
      </c>
      <c r="I26" s="79"/>
      <c r="J26" s="117"/>
      <c r="K26" s="117"/>
      <c r="L26" s="76"/>
      <c r="M26" s="117">
        <v>3000</v>
      </c>
      <c r="N26" s="78"/>
      <c r="O26" s="77"/>
      <c r="P26" s="75"/>
      <c r="Q26" s="76"/>
      <c r="R26" s="78"/>
      <c r="S26" s="76"/>
      <c r="T26" s="85"/>
      <c r="U26" s="75"/>
      <c r="V26" s="76"/>
      <c r="W26" s="76"/>
      <c r="X26" s="84"/>
      <c r="Y26" s="75"/>
      <c r="Z26" s="84"/>
      <c r="AA26" s="84"/>
      <c r="AB26" s="84"/>
      <c r="AC26" s="76"/>
      <c r="AD26" s="76"/>
      <c r="AE26" s="76"/>
      <c r="AF26" s="76"/>
      <c r="AG26" s="76"/>
      <c r="AH26" s="84"/>
      <c r="AI26" s="77"/>
      <c r="AJ26" s="80"/>
      <c r="AK26" s="75"/>
      <c r="AL26" s="77"/>
      <c r="AM26" s="361"/>
      <c r="AN26" s="85"/>
      <c r="AO26" s="81">
        <f t="shared" si="1"/>
        <v>57823</v>
      </c>
      <c r="AP26" s="82"/>
    </row>
    <row r="27" spans="1:42" s="1" customFormat="1" x14ac:dyDescent="0.2">
      <c r="A27" s="255"/>
      <c r="B27" s="404" t="s">
        <v>197</v>
      </c>
      <c r="C27" s="75"/>
      <c r="D27" s="76"/>
      <c r="E27" s="76"/>
      <c r="F27" s="76"/>
      <c r="G27" s="76"/>
      <c r="H27" s="75"/>
      <c r="I27" s="84"/>
      <c r="J27" s="84"/>
      <c r="K27" s="84"/>
      <c r="L27" s="76"/>
      <c r="M27" s="78"/>
      <c r="N27" s="78"/>
      <c r="O27" s="77"/>
      <c r="P27" s="75"/>
      <c r="Q27" s="76"/>
      <c r="R27" s="78"/>
      <c r="S27" s="76"/>
      <c r="T27" s="85"/>
      <c r="U27" s="75"/>
      <c r="V27" s="76"/>
      <c r="W27" s="76"/>
      <c r="X27" s="84"/>
      <c r="Y27" s="75"/>
      <c r="Z27" s="84"/>
      <c r="AA27" s="84"/>
      <c r="AB27" s="84"/>
      <c r="AC27" s="76"/>
      <c r="AD27" s="76"/>
      <c r="AE27" s="76"/>
      <c r="AF27" s="76"/>
      <c r="AG27" s="76"/>
      <c r="AH27" s="84"/>
      <c r="AI27" s="77"/>
      <c r="AJ27" s="80"/>
      <c r="AK27" s="75"/>
      <c r="AL27" s="394">
        <v>9687</v>
      </c>
      <c r="AM27" s="361"/>
      <c r="AN27" s="85"/>
      <c r="AO27" s="81">
        <f t="shared" si="1"/>
        <v>9687</v>
      </c>
      <c r="AP27" s="82"/>
    </row>
    <row r="28" spans="1:42" s="1" customFormat="1" x14ac:dyDescent="0.2">
      <c r="A28" s="573" t="s">
        <v>198</v>
      </c>
      <c r="B28" s="574"/>
      <c r="C28" s="228"/>
      <c r="D28" s="226"/>
      <c r="E28" s="226"/>
      <c r="F28" s="226"/>
      <c r="G28" s="226"/>
      <c r="H28" s="227"/>
      <c r="I28" s="76"/>
      <c r="J28" s="405"/>
      <c r="K28" s="76"/>
      <c r="L28" s="226"/>
      <c r="M28" s="226"/>
      <c r="N28" s="226"/>
      <c r="O28" s="406"/>
      <c r="P28" s="227"/>
      <c r="Q28" s="226"/>
      <c r="R28" s="226"/>
      <c r="S28" s="79"/>
      <c r="T28" s="406"/>
      <c r="U28" s="227"/>
      <c r="V28" s="226"/>
      <c r="W28" s="406"/>
      <c r="X28" s="226"/>
      <c r="Y28" s="227"/>
      <c r="Z28" s="228"/>
      <c r="AA28" s="228"/>
      <c r="AB28" s="228"/>
      <c r="AC28" s="226"/>
      <c r="AD28" s="226"/>
      <c r="AE28" s="226"/>
      <c r="AF28" s="226" t="s">
        <v>199</v>
      </c>
      <c r="AG28" s="226"/>
      <c r="AH28" s="406"/>
      <c r="AI28" s="406"/>
      <c r="AJ28" s="407"/>
      <c r="AK28" s="227" t="s">
        <v>199</v>
      </c>
      <c r="AL28" s="408"/>
      <c r="AM28" s="361"/>
      <c r="AN28" s="406"/>
      <c r="AO28" s="224">
        <f t="shared" si="1"/>
        <v>0</v>
      </c>
      <c r="AP28" s="82"/>
    </row>
    <row r="29" spans="1:42" s="1" customFormat="1" ht="14.25" customHeight="1" thickBot="1" x14ac:dyDescent="0.25">
      <c r="A29" s="573" t="s">
        <v>200</v>
      </c>
      <c r="B29" s="574"/>
      <c r="C29" s="234"/>
      <c r="D29" s="235"/>
      <c r="E29" s="235"/>
      <c r="F29" s="235"/>
      <c r="G29" s="235"/>
      <c r="H29" s="234"/>
      <c r="I29" s="243"/>
      <c r="J29" s="238"/>
      <c r="K29" s="237"/>
      <c r="L29" s="238"/>
      <c r="M29" s="238"/>
      <c r="N29" s="238"/>
      <c r="O29" s="236"/>
      <c r="P29" s="239"/>
      <c r="Q29" s="239"/>
      <c r="R29" s="239"/>
      <c r="S29" s="301"/>
      <c r="T29" s="240"/>
      <c r="U29" s="234"/>
      <c r="V29" s="238"/>
      <c r="W29" s="235"/>
      <c r="X29" s="238"/>
      <c r="Y29" s="234"/>
      <c r="Z29" s="238"/>
      <c r="AA29" s="238"/>
      <c r="AB29" s="238"/>
      <c r="AC29" s="238"/>
      <c r="AD29" s="238"/>
      <c r="AE29" s="238"/>
      <c r="AF29" s="238"/>
      <c r="AG29" s="235"/>
      <c r="AH29" s="238"/>
      <c r="AI29" s="236"/>
      <c r="AJ29" s="241"/>
      <c r="AK29" s="234"/>
      <c r="AL29" s="236"/>
      <c r="AM29" s="234"/>
      <c r="AN29" s="241"/>
      <c r="AO29" s="242">
        <f t="shared" si="1"/>
        <v>0</v>
      </c>
      <c r="AP29" s="171"/>
    </row>
    <row r="30" spans="1:42" s="1" customFormat="1" ht="26.25" customHeight="1" thickBot="1" x14ac:dyDescent="0.25">
      <c r="A30" s="564" t="s">
        <v>201</v>
      </c>
      <c r="B30" s="565"/>
      <c r="C30" s="409">
        <f t="shared" ref="C30:H30" si="2">SUM(C6:C29)</f>
        <v>0</v>
      </c>
      <c r="D30" s="410">
        <f t="shared" si="2"/>
        <v>9000</v>
      </c>
      <c r="E30" s="410">
        <f t="shared" si="2"/>
        <v>41000</v>
      </c>
      <c r="F30" s="410">
        <f t="shared" si="2"/>
        <v>290842</v>
      </c>
      <c r="G30" s="410">
        <f t="shared" si="2"/>
        <v>0</v>
      </c>
      <c r="H30" s="409">
        <f t="shared" si="2"/>
        <v>127261</v>
      </c>
      <c r="I30" s="411">
        <f>SUM(I6:I29)</f>
        <v>0</v>
      </c>
      <c r="J30" s="410">
        <f t="shared" ref="J30:AN30" si="3">SUM(J6:J29)</f>
        <v>0</v>
      </c>
      <c r="K30" s="411">
        <f t="shared" si="3"/>
        <v>0</v>
      </c>
      <c r="L30" s="410">
        <f t="shared" si="3"/>
        <v>70324</v>
      </c>
      <c r="M30" s="410">
        <f t="shared" si="3"/>
        <v>3000</v>
      </c>
      <c r="N30" s="412">
        <f t="shared" si="3"/>
        <v>47382</v>
      </c>
      <c r="O30" s="413">
        <f t="shared" si="3"/>
        <v>0</v>
      </c>
      <c r="P30" s="409">
        <f t="shared" si="3"/>
        <v>354560</v>
      </c>
      <c r="Q30" s="410">
        <f t="shared" si="3"/>
        <v>583414</v>
      </c>
      <c r="R30" s="412">
        <f t="shared" si="3"/>
        <v>0</v>
      </c>
      <c r="S30" s="410">
        <f t="shared" ref="S30" si="4">SUM(S6:S29)</f>
        <v>4000</v>
      </c>
      <c r="T30" s="414">
        <f t="shared" si="3"/>
        <v>2000</v>
      </c>
      <c r="U30" s="409">
        <f t="shared" si="3"/>
        <v>47793</v>
      </c>
      <c r="V30" s="410">
        <f t="shared" si="3"/>
        <v>0</v>
      </c>
      <c r="W30" s="410">
        <f t="shared" ref="W30:AB30" si="5">SUM(W6:W29)</f>
        <v>0</v>
      </c>
      <c r="X30" s="411">
        <f t="shared" si="5"/>
        <v>0</v>
      </c>
      <c r="Y30" s="409">
        <f t="shared" si="3"/>
        <v>0</v>
      </c>
      <c r="Z30" s="411">
        <f t="shared" si="5"/>
        <v>0</v>
      </c>
      <c r="AA30" s="411">
        <f t="shared" si="5"/>
        <v>0</v>
      </c>
      <c r="AB30" s="411">
        <f t="shared" si="5"/>
        <v>0</v>
      </c>
      <c r="AC30" s="410">
        <f t="shared" si="3"/>
        <v>0</v>
      </c>
      <c r="AD30" s="410">
        <f t="shared" si="3"/>
        <v>0</v>
      </c>
      <c r="AE30" s="410">
        <f t="shared" si="3"/>
        <v>0</v>
      </c>
      <c r="AF30" s="410">
        <f t="shared" ref="AF30:AG30" si="6">SUM(AF6:AF29)</f>
        <v>77352</v>
      </c>
      <c r="AG30" s="410">
        <f t="shared" si="6"/>
        <v>0</v>
      </c>
      <c r="AH30" s="411">
        <f t="shared" si="3"/>
        <v>0</v>
      </c>
      <c r="AI30" s="413">
        <f t="shared" si="3"/>
        <v>0</v>
      </c>
      <c r="AJ30" s="276">
        <f t="shared" si="3"/>
        <v>30000</v>
      </c>
      <c r="AK30" s="409">
        <f t="shared" si="3"/>
        <v>0</v>
      </c>
      <c r="AL30" s="413">
        <f t="shared" si="3"/>
        <v>29559</v>
      </c>
      <c r="AM30" s="409">
        <f t="shared" ref="AM30" si="7">SUM(AM6:AM29)</f>
        <v>0</v>
      </c>
      <c r="AN30" s="415">
        <f t="shared" si="3"/>
        <v>311704</v>
      </c>
      <c r="AO30" s="416">
        <f t="shared" si="1"/>
        <v>2029191</v>
      </c>
      <c r="AP30" s="82"/>
    </row>
    <row r="31" spans="1:42" s="1" customFormat="1" ht="12.75" customHeight="1" x14ac:dyDescent="0.2">
      <c r="A31" s="566" t="s">
        <v>202</v>
      </c>
      <c r="B31" s="567"/>
      <c r="C31" s="417"/>
      <c r="D31" s="418"/>
      <c r="E31" s="418"/>
      <c r="F31" s="418"/>
      <c r="G31" s="418"/>
      <c r="H31" s="417"/>
      <c r="I31" s="419"/>
      <c r="J31" s="419"/>
      <c r="K31" s="419"/>
      <c r="L31" s="418"/>
      <c r="M31" s="420"/>
      <c r="N31" s="420"/>
      <c r="O31" s="421"/>
      <c r="P31" s="422"/>
      <c r="Q31" s="423"/>
      <c r="R31" s="424"/>
      <c r="S31" s="423"/>
      <c r="T31" s="425"/>
      <c r="U31" s="419"/>
      <c r="V31" s="423"/>
      <c r="W31" s="423"/>
      <c r="X31" s="419"/>
      <c r="Y31" s="417"/>
      <c r="Z31" s="419"/>
      <c r="AA31" s="419"/>
      <c r="AB31" s="419"/>
      <c r="AC31" s="418"/>
      <c r="AD31" s="418"/>
      <c r="AE31" s="418"/>
      <c r="AF31" s="418"/>
      <c r="AG31" s="418"/>
      <c r="AH31" s="419"/>
      <c r="AI31" s="421"/>
      <c r="AJ31" s="426"/>
      <c r="AK31" s="417"/>
      <c r="AL31" s="421"/>
      <c r="AM31" s="362"/>
      <c r="AN31" s="426"/>
      <c r="AO31" s="427">
        <f t="shared" si="1"/>
        <v>0</v>
      </c>
      <c r="AP31" s="82"/>
    </row>
    <row r="32" spans="1:42" s="1" customFormat="1" ht="12.75" customHeight="1" x14ac:dyDescent="0.2">
      <c r="A32" s="568" t="s">
        <v>203</v>
      </c>
      <c r="B32" s="569"/>
      <c r="C32" s="512"/>
      <c r="D32" s="516">
        <v>3200</v>
      </c>
      <c r="E32" s="516">
        <v>500</v>
      </c>
      <c r="F32" s="516">
        <v>14418</v>
      </c>
      <c r="G32" s="516"/>
      <c r="H32" s="570">
        <v>1800</v>
      </c>
      <c r="I32" s="505"/>
      <c r="J32" s="560"/>
      <c r="K32" s="505"/>
      <c r="L32" s="516">
        <v>4500</v>
      </c>
      <c r="M32" s="560">
        <v>120</v>
      </c>
      <c r="N32" s="540">
        <v>4200</v>
      </c>
      <c r="O32" s="544"/>
      <c r="P32" s="512">
        <v>6500</v>
      </c>
      <c r="Q32" s="516">
        <v>92000</v>
      </c>
      <c r="R32" s="540"/>
      <c r="S32" s="572">
        <v>75</v>
      </c>
      <c r="T32" s="575">
        <v>2200</v>
      </c>
      <c r="U32" s="505">
        <v>300</v>
      </c>
      <c r="V32" s="560"/>
      <c r="W32" s="560"/>
      <c r="X32" s="505"/>
      <c r="Y32" s="512"/>
      <c r="Z32" s="581"/>
      <c r="AA32" s="581"/>
      <c r="AB32" s="581"/>
      <c r="AC32" s="516"/>
      <c r="AD32" s="516"/>
      <c r="AE32" s="516"/>
      <c r="AF32" s="516">
        <v>750</v>
      </c>
      <c r="AG32" s="516"/>
      <c r="AH32" s="505"/>
      <c r="AI32" s="524"/>
      <c r="AJ32" s="522">
        <v>800</v>
      </c>
      <c r="AK32" s="512"/>
      <c r="AL32" s="528"/>
      <c r="AM32" s="512"/>
      <c r="AN32" s="532"/>
      <c r="AO32" s="536"/>
      <c r="AP32" s="82"/>
    </row>
    <row r="33" spans="1:42" s="1" customFormat="1" ht="12.75" customHeight="1" x14ac:dyDescent="0.2">
      <c r="A33" s="548" t="s">
        <v>204</v>
      </c>
      <c r="B33" s="549"/>
      <c r="C33" s="513"/>
      <c r="D33" s="517"/>
      <c r="E33" s="517"/>
      <c r="F33" s="517"/>
      <c r="G33" s="517"/>
      <c r="H33" s="571"/>
      <c r="I33" s="506"/>
      <c r="J33" s="561"/>
      <c r="K33" s="506"/>
      <c r="L33" s="517"/>
      <c r="M33" s="561"/>
      <c r="N33" s="541"/>
      <c r="O33" s="545"/>
      <c r="P33" s="513"/>
      <c r="Q33" s="517"/>
      <c r="R33" s="541"/>
      <c r="S33" s="572"/>
      <c r="T33" s="576"/>
      <c r="U33" s="506"/>
      <c r="V33" s="561"/>
      <c r="W33" s="561"/>
      <c r="X33" s="506"/>
      <c r="Y33" s="513"/>
      <c r="Z33" s="517"/>
      <c r="AA33" s="517"/>
      <c r="AB33" s="517"/>
      <c r="AC33" s="517"/>
      <c r="AD33" s="517"/>
      <c r="AE33" s="517"/>
      <c r="AF33" s="517"/>
      <c r="AG33" s="517"/>
      <c r="AH33" s="506"/>
      <c r="AI33" s="525"/>
      <c r="AJ33" s="523"/>
      <c r="AK33" s="513"/>
      <c r="AL33" s="529"/>
      <c r="AM33" s="513"/>
      <c r="AN33" s="533"/>
      <c r="AO33" s="537"/>
      <c r="AP33" s="82"/>
    </row>
    <row r="34" spans="1:42" s="4" customFormat="1" ht="12.75" customHeight="1" x14ac:dyDescent="0.2">
      <c r="A34" s="552" t="s">
        <v>205</v>
      </c>
      <c r="B34" s="553"/>
      <c r="C34" s="514" t="s">
        <v>206</v>
      </c>
      <c r="D34" s="508" t="s">
        <v>207</v>
      </c>
      <c r="E34" s="508" t="s">
        <v>208</v>
      </c>
      <c r="F34" s="508" t="s">
        <v>208</v>
      </c>
      <c r="G34" s="508" t="s">
        <v>208</v>
      </c>
      <c r="H34" s="503" t="s">
        <v>208</v>
      </c>
      <c r="I34" s="501" t="s">
        <v>208</v>
      </c>
      <c r="J34" s="508" t="s">
        <v>207</v>
      </c>
      <c r="K34" s="507" t="s">
        <v>209</v>
      </c>
      <c r="L34" s="508" t="s">
        <v>207</v>
      </c>
      <c r="M34" s="539" t="s">
        <v>206</v>
      </c>
      <c r="N34" s="542" t="s">
        <v>210</v>
      </c>
      <c r="O34" s="520" t="s">
        <v>210</v>
      </c>
      <c r="P34" s="514" t="s">
        <v>211</v>
      </c>
      <c r="Q34" s="508" t="s">
        <v>212</v>
      </c>
      <c r="R34" s="542" t="s">
        <v>213</v>
      </c>
      <c r="S34" s="579" t="s">
        <v>206</v>
      </c>
      <c r="T34" s="510" t="s">
        <v>214</v>
      </c>
      <c r="U34" s="577" t="s">
        <v>214</v>
      </c>
      <c r="V34" s="579" t="s">
        <v>214</v>
      </c>
      <c r="W34" s="579" t="s">
        <v>214</v>
      </c>
      <c r="X34" s="501" t="s">
        <v>208</v>
      </c>
      <c r="Y34" s="514" t="s">
        <v>215</v>
      </c>
      <c r="Z34" s="508" t="s">
        <v>216</v>
      </c>
      <c r="AA34" s="508" t="s">
        <v>216</v>
      </c>
      <c r="AB34" s="508" t="s">
        <v>207</v>
      </c>
      <c r="AC34" s="508" t="s">
        <v>208</v>
      </c>
      <c r="AD34" s="508" t="s">
        <v>208</v>
      </c>
      <c r="AE34" s="508" t="s">
        <v>208</v>
      </c>
      <c r="AF34" s="508" t="s">
        <v>217</v>
      </c>
      <c r="AG34" s="508" t="s">
        <v>218</v>
      </c>
      <c r="AH34" s="501" t="s">
        <v>208</v>
      </c>
      <c r="AI34" s="520" t="s">
        <v>208</v>
      </c>
      <c r="AJ34" s="518" t="s">
        <v>208</v>
      </c>
      <c r="AK34" s="514" t="s">
        <v>207</v>
      </c>
      <c r="AL34" s="530"/>
      <c r="AM34" s="514" t="s">
        <v>219</v>
      </c>
      <c r="AN34" s="534"/>
      <c r="AO34" s="526"/>
      <c r="AP34" s="19"/>
    </row>
    <row r="35" spans="1:42" ht="25.5" customHeight="1" x14ac:dyDescent="0.2">
      <c r="A35" s="554"/>
      <c r="B35" s="555"/>
      <c r="C35" s="515"/>
      <c r="D35" s="509"/>
      <c r="E35" s="509"/>
      <c r="F35" s="509"/>
      <c r="G35" s="509"/>
      <c r="H35" s="504"/>
      <c r="I35" s="502"/>
      <c r="J35" s="509"/>
      <c r="K35" s="502"/>
      <c r="L35" s="509"/>
      <c r="M35" s="509"/>
      <c r="N35" s="543"/>
      <c r="O35" s="521"/>
      <c r="P35" s="515"/>
      <c r="Q35" s="509"/>
      <c r="R35" s="543"/>
      <c r="S35" s="580"/>
      <c r="T35" s="511"/>
      <c r="U35" s="578"/>
      <c r="V35" s="580"/>
      <c r="W35" s="580"/>
      <c r="X35" s="502"/>
      <c r="Y35" s="515"/>
      <c r="Z35" s="509"/>
      <c r="AA35" s="509"/>
      <c r="AB35" s="509"/>
      <c r="AC35" s="509"/>
      <c r="AD35" s="509"/>
      <c r="AE35" s="509"/>
      <c r="AF35" s="509"/>
      <c r="AG35" s="509"/>
      <c r="AH35" s="502"/>
      <c r="AI35" s="521"/>
      <c r="AJ35" s="519"/>
      <c r="AK35" s="515"/>
      <c r="AL35" s="531"/>
      <c r="AM35" s="515"/>
      <c r="AN35" s="535"/>
      <c r="AO35" s="527"/>
    </row>
    <row r="36" spans="1:42" x14ac:dyDescent="0.2">
      <c r="A36" s="550" t="s">
        <v>220</v>
      </c>
      <c r="B36" s="551"/>
      <c r="C36" s="14" t="str">
        <f t="shared" ref="C36:R36" si="8">+IF(C32=0," ",C30/C32)</f>
        <v xml:space="preserve"> </v>
      </c>
      <c r="D36" s="25">
        <f t="shared" si="8"/>
        <v>2.8125</v>
      </c>
      <c r="E36" s="10">
        <f t="shared" si="8"/>
        <v>82</v>
      </c>
      <c r="F36" s="10">
        <f t="shared" si="8"/>
        <v>20.172145928700235</v>
      </c>
      <c r="G36" s="10" t="str">
        <f t="shared" si="8"/>
        <v xml:space="preserve"> </v>
      </c>
      <c r="H36" s="116">
        <f t="shared" si="8"/>
        <v>70.700555555555553</v>
      </c>
      <c r="I36" s="12" t="str">
        <f t="shared" si="8"/>
        <v xml:space="preserve"> </v>
      </c>
      <c r="J36" s="12" t="str">
        <f t="shared" si="8"/>
        <v xml:space="preserve"> </v>
      </c>
      <c r="K36" s="12" t="str">
        <f t="shared" ref="K36" si="9">+IF(K32=0," ",K30/K32)</f>
        <v xml:space="preserve"> </v>
      </c>
      <c r="L36" s="10">
        <f t="shared" si="8"/>
        <v>15.627555555555556</v>
      </c>
      <c r="M36" s="10">
        <f t="shared" si="8"/>
        <v>25</v>
      </c>
      <c r="N36" s="58">
        <f t="shared" si="8"/>
        <v>11.281428571428572</v>
      </c>
      <c r="O36" s="13" t="str">
        <f t="shared" si="8"/>
        <v xml:space="preserve"> </v>
      </c>
      <c r="P36" s="14">
        <f t="shared" si="8"/>
        <v>54.547692307692309</v>
      </c>
      <c r="Q36" s="10">
        <f t="shared" si="8"/>
        <v>6.3414565217391301</v>
      </c>
      <c r="R36" s="10" t="str">
        <f t="shared" si="8"/>
        <v xml:space="preserve"> </v>
      </c>
      <c r="S36" s="10">
        <f t="shared" ref="S36:T36" si="10">+IF(S32=0," ",S30/S32)</f>
        <v>53.333333333333336</v>
      </c>
      <c r="T36" s="182">
        <f t="shared" si="10"/>
        <v>0.90909090909090906</v>
      </c>
      <c r="U36" s="12">
        <f>+IF(U32=0," ",U30/U32)</f>
        <v>159.31</v>
      </c>
      <c r="V36" s="10" t="str">
        <f t="shared" ref="V36:X36" si="11">+IF(V32=0," ",V30/V32)</f>
        <v xml:space="preserve"> </v>
      </c>
      <c r="W36" s="10" t="str">
        <f t="shared" si="11"/>
        <v xml:space="preserve"> </v>
      </c>
      <c r="X36" s="12" t="str">
        <f t="shared" si="11"/>
        <v xml:space="preserve"> </v>
      </c>
      <c r="Y36" s="14" t="str">
        <f t="shared" ref="Y36:AK36" si="12">+IF(Y32=0," ",Y30/Y32)</f>
        <v xml:space="preserve"> </v>
      </c>
      <c r="Z36" s="12" t="str">
        <f t="shared" si="12"/>
        <v xml:space="preserve"> </v>
      </c>
      <c r="AA36" s="12" t="str">
        <f t="shared" si="12"/>
        <v xml:space="preserve"> </v>
      </c>
      <c r="AB36" s="12" t="str">
        <f t="shared" si="12"/>
        <v xml:space="preserve"> </v>
      </c>
      <c r="AC36" s="10" t="str">
        <f t="shared" si="12"/>
        <v xml:space="preserve"> </v>
      </c>
      <c r="AD36" s="10" t="str">
        <f t="shared" si="12"/>
        <v xml:space="preserve"> </v>
      </c>
      <c r="AE36" s="10" t="str">
        <f t="shared" si="12"/>
        <v xml:space="preserve"> </v>
      </c>
      <c r="AF36" s="10">
        <f t="shared" ref="AF36:AG36" si="13">+IF(AF32=0," ",AF30/AF32)</f>
        <v>103.136</v>
      </c>
      <c r="AG36" s="10" t="str">
        <f t="shared" si="13"/>
        <v xml:space="preserve"> </v>
      </c>
      <c r="AH36" s="12" t="str">
        <f t="shared" si="12"/>
        <v xml:space="preserve"> </v>
      </c>
      <c r="AI36" s="13" t="str">
        <f t="shared" si="12"/>
        <v xml:space="preserve"> </v>
      </c>
      <c r="AJ36" s="45">
        <f t="shared" si="12"/>
        <v>37.5</v>
      </c>
      <c r="AK36" s="14" t="str">
        <f t="shared" si="12"/>
        <v xml:space="preserve"> </v>
      </c>
      <c r="AL36" s="8"/>
      <c r="AM36" s="14" t="str">
        <f t="shared" ref="AM36" si="14">+IF(AM32=0," ",AM30/AM32)</f>
        <v xml:space="preserve"> </v>
      </c>
      <c r="AN36" s="16"/>
      <c r="AO36" s="26"/>
    </row>
    <row r="37" spans="1:42" ht="13.5" thickBot="1" x14ac:dyDescent="0.25">
      <c r="A37" s="556" t="s">
        <v>221</v>
      </c>
      <c r="B37" s="557"/>
      <c r="C37" s="27"/>
      <c r="D37" s="22">
        <v>113</v>
      </c>
      <c r="E37" s="22">
        <v>50</v>
      </c>
      <c r="F37" s="22">
        <v>45</v>
      </c>
      <c r="G37" s="22"/>
      <c r="H37" s="23">
        <v>80</v>
      </c>
      <c r="I37" s="72"/>
      <c r="J37" s="72"/>
      <c r="K37" s="72"/>
      <c r="L37" s="22">
        <v>1000</v>
      </c>
      <c r="M37" s="59">
        <v>200</v>
      </c>
      <c r="N37" s="59">
        <v>80</v>
      </c>
      <c r="O37" s="24"/>
      <c r="P37" s="23">
        <v>175</v>
      </c>
      <c r="Q37" s="22">
        <v>500</v>
      </c>
      <c r="R37" s="59"/>
      <c r="S37" s="22">
        <v>75</v>
      </c>
      <c r="T37" s="356">
        <v>550</v>
      </c>
      <c r="U37" s="72">
        <v>100</v>
      </c>
      <c r="V37" s="22"/>
      <c r="W37" s="22"/>
      <c r="X37" s="72"/>
      <c r="Y37" s="23"/>
      <c r="Z37" s="72"/>
      <c r="AA37" s="72"/>
      <c r="AB37" s="72"/>
      <c r="AC37" s="22"/>
      <c r="AD37" s="22"/>
      <c r="AE37" s="22"/>
      <c r="AF37" s="35"/>
      <c r="AG37" s="22"/>
      <c r="AH37" s="72"/>
      <c r="AI37" s="24"/>
      <c r="AJ37" s="46">
        <v>50</v>
      </c>
      <c r="AK37" s="23"/>
      <c r="AL37" s="28"/>
      <c r="AM37" s="23"/>
      <c r="AN37" s="36"/>
      <c r="AO37" s="29"/>
    </row>
    <row r="38" spans="1:42" ht="27" customHeight="1" thickBot="1" x14ac:dyDescent="0.25">
      <c r="A38" s="546"/>
      <c r="B38" s="547"/>
      <c r="C38" s="30" t="str">
        <f t="shared" ref="C38:R38" si="15">IF(C30&gt;0,IF(C32,"","Enter Units"),"")</f>
        <v/>
      </c>
      <c r="D38" s="31" t="str">
        <f t="shared" si="15"/>
        <v/>
      </c>
      <c r="E38" s="31" t="str">
        <f t="shared" si="15"/>
        <v/>
      </c>
      <c r="F38" s="31" t="str">
        <f t="shared" si="15"/>
        <v/>
      </c>
      <c r="G38" s="31" t="str">
        <f t="shared" si="15"/>
        <v/>
      </c>
      <c r="H38" s="30" t="str">
        <f t="shared" si="15"/>
        <v/>
      </c>
      <c r="I38" s="31" t="str">
        <f t="shared" si="15"/>
        <v/>
      </c>
      <c r="J38" s="43" t="str">
        <f t="shared" si="15"/>
        <v/>
      </c>
      <c r="K38" s="43" t="str">
        <f t="shared" ref="K38" si="16">IF(K30&gt;0,IF(K32,"","Enter Units"),"")</f>
        <v/>
      </c>
      <c r="L38" s="31" t="str">
        <f t="shared" si="15"/>
        <v/>
      </c>
      <c r="M38" s="31" t="str">
        <f t="shared" si="15"/>
        <v/>
      </c>
      <c r="N38" s="41" t="str">
        <f t="shared" si="15"/>
        <v/>
      </c>
      <c r="O38" s="32" t="str">
        <f t="shared" si="15"/>
        <v/>
      </c>
      <c r="P38" s="33" t="str">
        <f t="shared" si="15"/>
        <v/>
      </c>
      <c r="Q38" s="31" t="str">
        <f t="shared" si="15"/>
        <v/>
      </c>
      <c r="R38" s="41" t="str">
        <f t="shared" si="15"/>
        <v/>
      </c>
      <c r="S38" s="31" t="str">
        <f t="shared" ref="S38:T38" si="17">IF(S30&gt;0,IF(S32,"","Enter Units"),"")</f>
        <v/>
      </c>
      <c r="T38" s="183" t="str">
        <f t="shared" si="17"/>
        <v/>
      </c>
      <c r="U38" s="31" t="str">
        <f t="shared" ref="U38:V38" si="18">IF(U30&gt;0,IF(U32,"","Enter Units"),"")</f>
        <v/>
      </c>
      <c r="V38" s="31" t="str">
        <f t="shared" si="18"/>
        <v/>
      </c>
      <c r="W38" s="31" t="str">
        <f t="shared" ref="W38:AB38" si="19">IF(W30&gt;0,IF(W32,"","Enter Units"),"")</f>
        <v/>
      </c>
      <c r="X38" s="43" t="str">
        <f t="shared" si="19"/>
        <v/>
      </c>
      <c r="Y38" s="33" t="str">
        <f t="shared" ref="Y38:AK38" si="20">IF(Y30&gt;0,IF(Y32,"","Enter Units"),"")</f>
        <v/>
      </c>
      <c r="Z38" s="43" t="str">
        <f t="shared" si="19"/>
        <v/>
      </c>
      <c r="AA38" s="43" t="str">
        <f t="shared" si="19"/>
        <v/>
      </c>
      <c r="AB38" s="43" t="str">
        <f t="shared" si="19"/>
        <v/>
      </c>
      <c r="AC38" s="31" t="str">
        <f t="shared" si="20"/>
        <v/>
      </c>
      <c r="AD38" s="31" t="str">
        <f>IF(AD30&gt;0,IF(AD32,"","Enter Units"),"")</f>
        <v/>
      </c>
      <c r="AE38" s="31" t="str">
        <f t="shared" si="20"/>
        <v/>
      </c>
      <c r="AF38" s="31" t="str">
        <f t="shared" ref="AF38:AG38" si="21">IF(AF30&gt;0,IF(AF32,"","Enter Units"),"")</f>
        <v/>
      </c>
      <c r="AG38" s="31" t="str">
        <f t="shared" si="21"/>
        <v/>
      </c>
      <c r="AH38" s="43" t="str">
        <f t="shared" si="20"/>
        <v/>
      </c>
      <c r="AI38" s="32" t="str">
        <f t="shared" si="20"/>
        <v/>
      </c>
      <c r="AJ38" s="34" t="str">
        <f t="shared" si="20"/>
        <v/>
      </c>
      <c r="AK38" s="33" t="str">
        <f t="shared" si="20"/>
        <v/>
      </c>
      <c r="AL38" s="49"/>
      <c r="AM38" s="33" t="str">
        <f t="shared" ref="AM38" si="22">IF(AM30&gt;0,IF(AM32,"","Enter Units"),"")</f>
        <v/>
      </c>
      <c r="AN38" s="50"/>
      <c r="AO38" s="51"/>
    </row>
    <row r="39" spans="1:42" ht="13.5" thickBot="1" x14ac:dyDescent="0.25">
      <c r="C39" s="102" t="str">
        <f t="shared" ref="C39:M39" si="23">IF(C30&gt;0,IF(C37,"","Enter Persons"),"")</f>
        <v/>
      </c>
      <c r="D39" s="102" t="str">
        <f t="shared" si="23"/>
        <v/>
      </c>
      <c r="E39" s="102" t="str">
        <f t="shared" si="23"/>
        <v/>
      </c>
      <c r="F39" s="102" t="str">
        <f t="shared" si="23"/>
        <v/>
      </c>
      <c r="G39" s="102" t="str">
        <f t="shared" si="23"/>
        <v/>
      </c>
      <c r="H39" s="102" t="str">
        <f t="shared" si="23"/>
        <v/>
      </c>
      <c r="I39" s="102" t="str">
        <f t="shared" si="23"/>
        <v/>
      </c>
      <c r="J39" s="102" t="str">
        <f t="shared" si="23"/>
        <v/>
      </c>
      <c r="K39" s="102" t="str">
        <f t="shared" si="23"/>
        <v/>
      </c>
      <c r="L39" s="102" t="str">
        <f t="shared" si="23"/>
        <v/>
      </c>
      <c r="M39" s="102" t="str">
        <f t="shared" si="23"/>
        <v/>
      </c>
      <c r="N39" s="102" t="str">
        <f t="shared" ref="N39:R39" si="24">IF(N30&gt;0,IF(N37,"","Enter Persons"),"")</f>
        <v/>
      </c>
      <c r="O39" s="102" t="str">
        <f t="shared" si="24"/>
        <v/>
      </c>
      <c r="P39" s="103" t="str">
        <f t="shared" si="24"/>
        <v/>
      </c>
      <c r="Q39" s="103" t="str">
        <f t="shared" si="24"/>
        <v/>
      </c>
      <c r="R39" s="103" t="str">
        <f t="shared" si="24"/>
        <v/>
      </c>
      <c r="S39" s="103" t="str">
        <f t="shared" ref="S39:T39" si="25">IF(S30&gt;0,IF(S37,"","Enter Persons"),"")</f>
        <v/>
      </c>
      <c r="T39" s="103" t="str">
        <f t="shared" si="25"/>
        <v/>
      </c>
      <c r="U39" s="102" t="str">
        <f t="shared" ref="U39:AJ39" si="26">IF(U30&gt;0,IF(U37,"","Enter Persons"),"")</f>
        <v/>
      </c>
      <c r="V39" s="102" t="str">
        <f t="shared" ref="V39:W39" si="27">IF(V30&gt;0,IF(V37,"","Enter Persons"),"")</f>
        <v/>
      </c>
      <c r="W39" s="102" t="str">
        <f t="shared" si="27"/>
        <v/>
      </c>
      <c r="X39" s="102" t="str">
        <f t="shared" si="26"/>
        <v/>
      </c>
      <c r="Y39" s="102" t="str">
        <f t="shared" si="26"/>
        <v/>
      </c>
      <c r="Z39" s="102" t="str">
        <f t="shared" si="26"/>
        <v/>
      </c>
      <c r="AA39" s="102" t="str">
        <f t="shared" si="26"/>
        <v/>
      </c>
      <c r="AB39" s="102" t="str">
        <f t="shared" si="26"/>
        <v/>
      </c>
      <c r="AC39" s="102" t="str">
        <f t="shared" si="26"/>
        <v/>
      </c>
      <c r="AD39" s="102" t="str">
        <f t="shared" si="26"/>
        <v/>
      </c>
      <c r="AE39" s="102" t="str">
        <f t="shared" si="26"/>
        <v/>
      </c>
      <c r="AG39" s="102" t="str">
        <f t="shared" ref="AG39" si="28">IF(AG30&gt;0,IF(AG37,"","Enter Persons"),"")</f>
        <v/>
      </c>
      <c r="AH39" s="102" t="str">
        <f t="shared" si="26"/>
        <v/>
      </c>
      <c r="AI39" s="102" t="str">
        <f t="shared" si="26"/>
        <v/>
      </c>
      <c r="AJ39" s="102" t="str">
        <f t="shared" si="26"/>
        <v/>
      </c>
      <c r="AK39" s="102" t="str">
        <f>IF(AK30&gt;0,IF(AK37,"","Enter Persons"),"")</f>
        <v/>
      </c>
      <c r="AM39" s="102" t="str">
        <f>IF(AM30&gt;0,IF(AM37,"","Enter Persons"),"")</f>
        <v/>
      </c>
      <c r="AO39" s="82"/>
    </row>
    <row r="40" spans="1:42" x14ac:dyDescent="0.2">
      <c r="A40" s="538" t="s">
        <v>222</v>
      </c>
      <c r="B40" s="538"/>
      <c r="C40" s="538"/>
      <c r="D40" s="538"/>
      <c r="E40" s="538"/>
      <c r="F40" s="538"/>
      <c r="G40" s="538"/>
      <c r="H40" s="538"/>
      <c r="I40" s="538"/>
      <c r="J40" s="538"/>
      <c r="K40" s="538"/>
      <c r="L40" s="538"/>
      <c r="M40" s="538"/>
      <c r="U40" s="103" t="str">
        <f t="shared" ref="U40:AC40" si="29">IF(U31&gt;0,IF(U38,"","Enter Persons"),"")</f>
        <v/>
      </c>
      <c r="V40" s="103"/>
      <c r="W40" s="103"/>
      <c r="X40" s="103"/>
      <c r="Y40" s="103" t="str">
        <f t="shared" si="29"/>
        <v/>
      </c>
      <c r="Z40" s="103"/>
      <c r="AA40" s="103"/>
      <c r="AB40" s="103"/>
      <c r="AC40" s="103" t="str">
        <f t="shared" si="29"/>
        <v/>
      </c>
      <c r="AO40" s="82"/>
    </row>
    <row r="41" spans="1:42" x14ac:dyDescent="0.2">
      <c r="B41" s="73"/>
    </row>
    <row r="42" spans="1:42" x14ac:dyDescent="0.2">
      <c r="A42" s="69">
        <f>Summary!A30</f>
        <v>45783</v>
      </c>
    </row>
    <row r="44" spans="1:42" x14ac:dyDescent="0.2">
      <c r="E44" s="9" t="s">
        <v>223</v>
      </c>
    </row>
    <row r="54" spans="4:5" ht="14.25" customHeight="1" x14ac:dyDescent="0.2"/>
    <row r="56" spans="4:5" x14ac:dyDescent="0.2">
      <c r="D56" s="171"/>
      <c r="E56" s="435"/>
    </row>
    <row r="57" spans="4:5" x14ac:dyDescent="0.2">
      <c r="D57" s="171"/>
      <c r="E57" s="435"/>
    </row>
    <row r="58" spans="4:5" x14ac:dyDescent="0.2">
      <c r="D58" s="171"/>
      <c r="E58" s="435"/>
    </row>
    <row r="59" spans="4:5" x14ac:dyDescent="0.2">
      <c r="D59" s="171"/>
      <c r="E59" s="435"/>
    </row>
    <row r="60" spans="4:5" x14ac:dyDescent="0.2">
      <c r="D60" s="171"/>
      <c r="E60" s="435"/>
    </row>
    <row r="61" spans="4:5" x14ac:dyDescent="0.2">
      <c r="D61" s="171"/>
      <c r="E61" s="435"/>
    </row>
    <row r="62" spans="4:5" x14ac:dyDescent="0.2">
      <c r="D62" s="171"/>
      <c r="E62" s="435"/>
    </row>
    <row r="63" spans="4:5" x14ac:dyDescent="0.2">
      <c r="D63" s="171"/>
      <c r="E63" s="435"/>
    </row>
    <row r="64" spans="4:5" x14ac:dyDescent="0.2">
      <c r="D64" s="171"/>
      <c r="E64" s="435"/>
    </row>
    <row r="65" spans="1:5" x14ac:dyDescent="0.2">
      <c r="D65" s="171"/>
      <c r="E65" s="435"/>
    </row>
    <row r="66" spans="1:5" x14ac:dyDescent="0.2">
      <c r="D66" s="171"/>
      <c r="E66" s="171"/>
    </row>
    <row r="67" spans="1:5" x14ac:dyDescent="0.2">
      <c r="D67" s="171"/>
      <c r="E67" s="171"/>
    </row>
    <row r="76" spans="1:5" x14ac:dyDescent="0.2">
      <c r="A76" s="11"/>
    </row>
  </sheetData>
  <sheetProtection algorithmName="SHA-512" hashValue="xhefYtW30ZQMo/Vm/kfxbdk0m6S/s/JvEWP2eI/Fssk41IDu5g79IZRADK4DNAkCNyL3EG0QTQNnp0xj/Skh3w==" saltValue="2404Vp9baLLVWYsWxaYYvw==" spinCount="100000" sheet="1" objects="1" scenarios="1"/>
  <mergeCells count="97">
    <mergeCell ref="S34:S35"/>
    <mergeCell ref="AF32:AF33"/>
    <mergeCell ref="AF34:AF35"/>
    <mergeCell ref="Z34:Z35"/>
    <mergeCell ref="AA34:AA35"/>
    <mergeCell ref="AB34:AB35"/>
    <mergeCell ref="AD32:AD33"/>
    <mergeCell ref="AD34:AD35"/>
    <mergeCell ref="Z32:Z33"/>
    <mergeCell ref="AA32:AA33"/>
    <mergeCell ref="AB32:AB33"/>
    <mergeCell ref="A28:B28"/>
    <mergeCell ref="T32:T33"/>
    <mergeCell ref="X32:X33"/>
    <mergeCell ref="F34:F35"/>
    <mergeCell ref="D34:D35"/>
    <mergeCell ref="E34:E35"/>
    <mergeCell ref="E32:E33"/>
    <mergeCell ref="D32:D33"/>
    <mergeCell ref="A29:B29"/>
    <mergeCell ref="U34:U35"/>
    <mergeCell ref="U32:U33"/>
    <mergeCell ref="V32:V33"/>
    <mergeCell ref="V34:V35"/>
    <mergeCell ref="W32:W33"/>
    <mergeCell ref="W34:W35"/>
    <mergeCell ref="C34:C35"/>
    <mergeCell ref="C3:G3"/>
    <mergeCell ref="A3:B3"/>
    <mergeCell ref="Q32:Q33"/>
    <mergeCell ref="R32:R33"/>
    <mergeCell ref="M32:M33"/>
    <mergeCell ref="A4:B4"/>
    <mergeCell ref="I32:I33"/>
    <mergeCell ref="G32:G33"/>
    <mergeCell ref="F32:F33"/>
    <mergeCell ref="A30:B30"/>
    <mergeCell ref="A31:B31"/>
    <mergeCell ref="P3:T3"/>
    <mergeCell ref="A32:B32"/>
    <mergeCell ref="H32:H33"/>
    <mergeCell ref="J32:J33"/>
    <mergeCell ref="S32:S33"/>
    <mergeCell ref="C32:C33"/>
    <mergeCell ref="A38:B38"/>
    <mergeCell ref="A33:B33"/>
    <mergeCell ref="A36:B36"/>
    <mergeCell ref="A34:B35"/>
    <mergeCell ref="A37:B37"/>
    <mergeCell ref="A40:M40"/>
    <mergeCell ref="M34:M35"/>
    <mergeCell ref="AK3:AL3"/>
    <mergeCell ref="G34:G35"/>
    <mergeCell ref="AE32:AE33"/>
    <mergeCell ref="AE34:AE35"/>
    <mergeCell ref="N32:N33"/>
    <mergeCell ref="N34:N35"/>
    <mergeCell ref="P32:P33"/>
    <mergeCell ref="P34:P35"/>
    <mergeCell ref="O34:O35"/>
    <mergeCell ref="O32:O33"/>
    <mergeCell ref="Q34:Q35"/>
    <mergeCell ref="R34:R35"/>
    <mergeCell ref="I34:I35"/>
    <mergeCell ref="L32:L33"/>
    <mergeCell ref="AK32:AK33"/>
    <mergeCell ref="AK34:AK35"/>
    <mergeCell ref="AO34:AO35"/>
    <mergeCell ref="AL32:AL33"/>
    <mergeCell ref="AL34:AL35"/>
    <mergeCell ref="AN32:AN33"/>
    <mergeCell ref="AN34:AN35"/>
    <mergeCell ref="AO32:AO33"/>
    <mergeCell ref="AM32:AM33"/>
    <mergeCell ref="AM34:AM35"/>
    <mergeCell ref="AJ34:AJ35"/>
    <mergeCell ref="AH32:AH33"/>
    <mergeCell ref="AH34:AH35"/>
    <mergeCell ref="AI34:AI35"/>
    <mergeCell ref="AJ32:AJ33"/>
    <mergeCell ref="AI32:AI33"/>
    <mergeCell ref="U3:X3"/>
    <mergeCell ref="X34:X35"/>
    <mergeCell ref="Y3:AI3"/>
    <mergeCell ref="H34:H35"/>
    <mergeCell ref="K32:K33"/>
    <mergeCell ref="K34:K35"/>
    <mergeCell ref="J34:J35"/>
    <mergeCell ref="T34:T35"/>
    <mergeCell ref="L34:L35"/>
    <mergeCell ref="Y32:Y33"/>
    <mergeCell ref="Y34:Y35"/>
    <mergeCell ref="AC32:AC33"/>
    <mergeCell ref="AC34:AC35"/>
    <mergeCell ref="H3:O3"/>
    <mergeCell ref="AG32:AG33"/>
    <mergeCell ref="AG34:AG35"/>
  </mergeCells>
  <phoneticPr fontId="0" type="noConversion"/>
  <conditionalFormatting sqref="C39:T39">
    <cfRule type="cellIs" dxfId="25" priority="11" stopIfTrue="1" operator="equal">
      <formula>"Enter Persons"</formula>
    </cfRule>
  </conditionalFormatting>
  <conditionalFormatting sqref="C38:AM38">
    <cfRule type="cellIs" dxfId="24" priority="6" stopIfTrue="1" operator="equal">
      <formula>"Enter Units"</formula>
    </cfRule>
  </conditionalFormatting>
  <conditionalFormatting sqref="U39:AC40">
    <cfRule type="cellIs" dxfId="23" priority="2" stopIfTrue="1" operator="equal">
      <formula>"Enter Persons"</formula>
    </cfRule>
  </conditionalFormatting>
  <conditionalFormatting sqref="AD38">
    <cfRule type="cellIs" dxfId="22" priority="51" stopIfTrue="1" operator="equal">
      <formula>"Enter Persons"</formula>
    </cfRule>
  </conditionalFormatting>
  <conditionalFormatting sqref="AD39:AE39">
    <cfRule type="cellIs" dxfId="21" priority="44" stopIfTrue="1" operator="equal">
      <formula>"Enter Persons"</formula>
    </cfRule>
  </conditionalFormatting>
  <conditionalFormatting sqref="AG39:AK39">
    <cfRule type="cellIs" dxfId="20" priority="1" stopIfTrue="1" operator="equal">
      <formula>"Enter Persons"</formula>
    </cfRule>
  </conditionalFormatting>
  <conditionalFormatting sqref="AM39">
    <cfRule type="cellIs" dxfId="19" priority="5" stopIfTrue="1" operator="equal">
      <formula>"Enter Persons"</formula>
    </cfRule>
  </conditionalFormatting>
  <printOptions headings="1"/>
  <pageMargins left="0.7" right="0.5" top="0.88" bottom="0.48" header="0.44" footer="0.5"/>
  <pageSetup scale="82" fitToWidth="0" orientation="landscape" r:id="rId1"/>
  <headerFooter alignWithMargins="0">
    <oddHeader>&amp;C&amp;"Arial,Bold"&amp;12Title III &amp;"Arial,Regular"&amp;10
&amp;"Arial,Bold"&amp;12(Except III-E)</oddHeader>
    <oddFooter xml:space="preserve">&amp;CPage &amp;P of &amp;N&amp;R&amp;6&amp;F &amp;A
Printed &amp;D
</oddFooter>
  </headerFooter>
  <colBreaks count="4" manualBreakCount="4">
    <brk id="8" max="41" man="1"/>
    <brk id="15" max="41" man="1"/>
    <brk id="28" max="41" man="1"/>
    <brk id="34" max="4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AE66"/>
  <sheetViews>
    <sheetView showGridLines="0" showZeros="0" topLeftCell="H2" zoomScale="90" zoomScaleNormal="90" zoomScaleSheetLayoutView="100" workbookViewId="0">
      <selection activeCell="AD10" sqref="AD10"/>
    </sheetView>
  </sheetViews>
  <sheetFormatPr defaultRowHeight="12.75" x14ac:dyDescent="0.2"/>
  <cols>
    <col min="1" max="1" width="7.85546875" customWidth="1"/>
    <col min="2" max="2" width="28.28515625" customWidth="1"/>
    <col min="3" max="30" width="16.85546875" style="9" customWidth="1"/>
    <col min="31" max="31" width="14.85546875" style="9" customWidth="1"/>
    <col min="32" max="32" width="12.140625" bestFit="1" customWidth="1"/>
  </cols>
  <sheetData>
    <row r="1" spans="1:31" ht="12.75" hidden="1" customHeight="1" x14ac:dyDescent="0.2">
      <c r="A1" s="6" t="s">
        <v>80</v>
      </c>
      <c r="B1" s="20">
        <f>Summary!H1</f>
        <v>14</v>
      </c>
      <c r="C1" s="5"/>
      <c r="D1" s="5"/>
      <c r="E1" s="5"/>
      <c r="F1" s="5"/>
      <c r="G1" s="5"/>
      <c r="H1"/>
      <c r="I1"/>
      <c r="J1"/>
      <c r="K1"/>
      <c r="L1"/>
      <c r="M1"/>
      <c r="N1"/>
      <c r="O1"/>
      <c r="P1"/>
      <c r="Q1"/>
      <c r="R1"/>
      <c r="S1"/>
      <c r="T1"/>
      <c r="U1"/>
      <c r="V1"/>
      <c r="W1"/>
      <c r="X1"/>
      <c r="Y1"/>
      <c r="Z1"/>
      <c r="AA1"/>
      <c r="AB1"/>
      <c r="AC1"/>
      <c r="AD1"/>
      <c r="AE1"/>
    </row>
    <row r="2" spans="1:31" ht="13.5" thickBot="1" x14ac:dyDescent="0.25">
      <c r="A2" s="6"/>
      <c r="B2" s="20"/>
      <c r="C2" s="248" t="s">
        <v>137</v>
      </c>
      <c r="D2" s="252"/>
      <c r="E2" s="252"/>
      <c r="F2" s="252"/>
      <c r="G2" s="252"/>
      <c r="H2" s="250"/>
      <c r="I2" s="250"/>
      <c r="J2" s="250"/>
      <c r="K2" s="250"/>
      <c r="L2" s="250"/>
      <c r="M2" s="250"/>
      <c r="N2" s="250"/>
      <c r="O2" s="250"/>
      <c r="P2" s="250"/>
      <c r="Q2" s="250"/>
      <c r="R2" s="250"/>
      <c r="S2" s="250"/>
      <c r="T2" s="250"/>
      <c r="U2" s="250"/>
      <c r="V2" s="250"/>
      <c r="W2" s="250"/>
      <c r="X2" s="250"/>
      <c r="Y2" s="250"/>
      <c r="Z2" s="250"/>
      <c r="AA2" s="250"/>
      <c r="AB2" s="250"/>
      <c r="AC2" s="250"/>
      <c r="AD2" s="250"/>
      <c r="AE2" s="250"/>
    </row>
    <row r="3" spans="1:31" ht="63" customHeight="1" thickBot="1" x14ac:dyDescent="0.3">
      <c r="A3" s="558" t="s">
        <v>138</v>
      </c>
      <c r="B3" s="558"/>
      <c r="C3" s="316" t="s">
        <v>224</v>
      </c>
      <c r="D3" s="317" t="s">
        <v>225</v>
      </c>
      <c r="E3" s="316" t="s">
        <v>226</v>
      </c>
      <c r="F3" s="316" t="s">
        <v>227</v>
      </c>
      <c r="G3" s="316" t="s">
        <v>228</v>
      </c>
      <c r="H3" s="316" t="s">
        <v>176</v>
      </c>
      <c r="I3" s="316" t="s">
        <v>229</v>
      </c>
      <c r="J3" s="585" t="s">
        <v>93</v>
      </c>
      <c r="K3" s="585"/>
      <c r="L3" s="585"/>
      <c r="M3" s="585"/>
      <c r="N3" s="585"/>
      <c r="O3" s="603" t="s">
        <v>95</v>
      </c>
      <c r="P3" s="604"/>
      <c r="Q3" s="604"/>
      <c r="R3" s="604"/>
      <c r="S3" s="604"/>
      <c r="T3" s="604"/>
      <c r="U3" s="604"/>
      <c r="V3" s="604"/>
      <c r="W3" s="604"/>
      <c r="X3" s="604"/>
      <c r="Y3" s="604"/>
      <c r="Z3" s="604"/>
      <c r="AA3" s="604"/>
      <c r="AB3" s="605"/>
      <c r="AC3" s="363" t="s">
        <v>183</v>
      </c>
      <c r="AD3" s="330" t="s">
        <v>147</v>
      </c>
      <c r="AE3" s="608" t="s">
        <v>230</v>
      </c>
    </row>
    <row r="4" spans="1:31" s="2" customFormat="1" ht="56.25" customHeight="1" x14ac:dyDescent="0.2">
      <c r="A4" s="562" t="s">
        <v>149</v>
      </c>
      <c r="B4" s="586"/>
      <c r="C4" s="310" t="s">
        <v>224</v>
      </c>
      <c r="D4" s="18" t="s">
        <v>225</v>
      </c>
      <c r="E4" s="310" t="s">
        <v>226</v>
      </c>
      <c r="F4" s="318" t="s">
        <v>227</v>
      </c>
      <c r="G4" s="318" t="s">
        <v>158</v>
      </c>
      <c r="H4" s="318" t="s">
        <v>176</v>
      </c>
      <c r="I4" s="310" t="s">
        <v>229</v>
      </c>
      <c r="J4" s="309" t="s">
        <v>231</v>
      </c>
      <c r="K4" s="325" t="s">
        <v>232</v>
      </c>
      <c r="L4" s="325" t="s">
        <v>233</v>
      </c>
      <c r="M4" s="325" t="s">
        <v>234</v>
      </c>
      <c r="N4" s="326" t="s">
        <v>235</v>
      </c>
      <c r="O4" s="353" t="s">
        <v>236</v>
      </c>
      <c r="P4" s="346" t="s">
        <v>237</v>
      </c>
      <c r="Q4" s="346" t="s">
        <v>152</v>
      </c>
      <c r="R4" s="346" t="s">
        <v>171</v>
      </c>
      <c r="S4" s="331" t="s">
        <v>238</v>
      </c>
      <c r="T4" s="328" t="s">
        <v>161</v>
      </c>
      <c r="U4" s="328" t="s">
        <v>20</v>
      </c>
      <c r="V4" s="325" t="s">
        <v>239</v>
      </c>
      <c r="W4" s="325" t="s">
        <v>240</v>
      </c>
      <c r="X4" s="346" t="s">
        <v>177</v>
      </c>
      <c r="Y4" s="331" t="s">
        <v>19</v>
      </c>
      <c r="Z4" s="329" t="s">
        <v>160</v>
      </c>
      <c r="AA4" s="325" t="s">
        <v>241</v>
      </c>
      <c r="AB4" s="326" t="s">
        <v>242</v>
      </c>
      <c r="AC4" s="371" t="s">
        <v>183</v>
      </c>
      <c r="AD4" s="365" t="s">
        <v>184</v>
      </c>
      <c r="AE4" s="609"/>
    </row>
    <row r="5" spans="1:31" s="1" customFormat="1" ht="24" customHeight="1" x14ac:dyDescent="0.2">
      <c r="A5" s="3" t="s">
        <v>186</v>
      </c>
      <c r="B5" s="74"/>
      <c r="C5" s="391"/>
      <c r="D5" s="436"/>
      <c r="E5" s="391"/>
      <c r="F5" s="391"/>
      <c r="G5" s="391"/>
      <c r="H5" s="391"/>
      <c r="I5" s="391"/>
      <c r="J5" s="388"/>
      <c r="K5" s="389"/>
      <c r="L5" s="389"/>
      <c r="M5" s="389"/>
      <c r="N5" s="118"/>
      <c r="O5" s="386"/>
      <c r="P5" s="386"/>
      <c r="Q5" s="386"/>
      <c r="R5" s="386"/>
      <c r="S5" s="386"/>
      <c r="T5" s="387"/>
      <c r="U5" s="387"/>
      <c r="V5" s="389"/>
      <c r="W5" s="386"/>
      <c r="X5" s="389"/>
      <c r="Y5" s="387"/>
      <c r="Z5" s="436"/>
      <c r="AA5" s="389"/>
      <c r="AB5" s="118"/>
      <c r="AC5" s="359"/>
      <c r="AD5" s="437"/>
      <c r="AE5" s="392"/>
    </row>
    <row r="6" spans="1:31" s="1" customFormat="1" x14ac:dyDescent="0.2">
      <c r="A6" s="255"/>
      <c r="B6" s="74" t="s">
        <v>7</v>
      </c>
      <c r="C6" s="396"/>
      <c r="D6" s="438"/>
      <c r="E6" s="396"/>
      <c r="F6" s="396"/>
      <c r="G6" s="396"/>
      <c r="H6" s="396">
        <v>18000</v>
      </c>
      <c r="I6" s="396"/>
      <c r="J6" s="393"/>
      <c r="K6" s="117">
        <v>124260</v>
      </c>
      <c r="L6" s="117"/>
      <c r="M6" s="117"/>
      <c r="N6" s="394"/>
      <c r="O6" s="439"/>
      <c r="P6" s="79"/>
      <c r="Q6" s="79">
        <v>8660</v>
      </c>
      <c r="R6" s="79"/>
      <c r="S6" s="393"/>
      <c r="T6" s="79"/>
      <c r="U6" s="79">
        <v>20000</v>
      </c>
      <c r="V6" s="79"/>
      <c r="W6" s="393"/>
      <c r="X6" s="117"/>
      <c r="Y6" s="79"/>
      <c r="Z6" s="438"/>
      <c r="AA6" s="117"/>
      <c r="AB6" s="394"/>
      <c r="AC6" s="360"/>
      <c r="AD6" s="440">
        <v>18991</v>
      </c>
      <c r="AE6" s="81">
        <f>SUM(C6:AD6)</f>
        <v>189911</v>
      </c>
    </row>
    <row r="7" spans="1:31" s="1" customFormat="1" x14ac:dyDescent="0.2">
      <c r="A7" s="3" t="s">
        <v>189</v>
      </c>
      <c r="B7" s="74"/>
      <c r="C7" s="391"/>
      <c r="D7" s="436"/>
      <c r="E7" s="391"/>
      <c r="F7" s="391"/>
      <c r="G7" s="391"/>
      <c r="H7" s="391"/>
      <c r="I7" s="391"/>
      <c r="J7" s="388"/>
      <c r="K7" s="389"/>
      <c r="L7" s="389"/>
      <c r="M7" s="389"/>
      <c r="N7" s="118"/>
      <c r="O7" s="441"/>
      <c r="P7" s="387"/>
      <c r="Q7" s="387"/>
      <c r="R7" s="387"/>
      <c r="S7" s="388"/>
      <c r="T7" s="387"/>
      <c r="U7" s="387"/>
      <c r="V7" s="387"/>
      <c r="W7" s="388"/>
      <c r="X7" s="389"/>
      <c r="Y7" s="387"/>
      <c r="Z7" s="436"/>
      <c r="AA7" s="389"/>
      <c r="AB7" s="118"/>
      <c r="AC7" s="359"/>
      <c r="AD7" s="437"/>
      <c r="AE7" s="392"/>
    </row>
    <row r="8" spans="1:31" s="1" customFormat="1" x14ac:dyDescent="0.2">
      <c r="A8" s="255"/>
      <c r="B8" s="74" t="s">
        <v>190</v>
      </c>
      <c r="C8" s="396"/>
      <c r="D8" s="438"/>
      <c r="E8" s="396"/>
      <c r="F8" s="396"/>
      <c r="G8" s="396"/>
      <c r="H8" s="396"/>
      <c r="I8" s="396"/>
      <c r="J8" s="393"/>
      <c r="K8" s="117"/>
      <c r="L8" s="117"/>
      <c r="M8" s="117"/>
      <c r="N8" s="394"/>
      <c r="O8" s="439"/>
      <c r="P8" s="79"/>
      <c r="Q8" s="79"/>
      <c r="R8" s="79"/>
      <c r="S8" s="393"/>
      <c r="T8" s="79"/>
      <c r="U8" s="79"/>
      <c r="V8" s="79"/>
      <c r="W8" s="393"/>
      <c r="X8" s="117"/>
      <c r="Y8" s="79"/>
      <c r="Z8" s="438"/>
      <c r="AA8" s="117"/>
      <c r="AB8" s="394"/>
      <c r="AC8" s="361"/>
      <c r="AD8" s="366"/>
      <c r="AE8" s="81">
        <f>SUM(C8:AD8)</f>
        <v>0</v>
      </c>
    </row>
    <row r="9" spans="1:31" s="1" customFormat="1" x14ac:dyDescent="0.2">
      <c r="A9" s="255"/>
      <c r="B9" s="74" t="s">
        <v>191</v>
      </c>
      <c r="C9" s="396"/>
      <c r="D9" s="438"/>
      <c r="E9" s="396"/>
      <c r="F9" s="396"/>
      <c r="G9" s="396"/>
      <c r="H9" s="396"/>
      <c r="I9" s="396"/>
      <c r="J9" s="393"/>
      <c r="K9" s="117"/>
      <c r="L9" s="117"/>
      <c r="M9" s="117"/>
      <c r="N9" s="394"/>
      <c r="O9" s="439"/>
      <c r="P9" s="79"/>
      <c r="Q9" s="79"/>
      <c r="R9" s="79"/>
      <c r="S9" s="393"/>
      <c r="T9" s="79"/>
      <c r="U9" s="79"/>
      <c r="V9" s="79"/>
      <c r="W9" s="393"/>
      <c r="X9" s="117"/>
      <c r="Y9" s="79"/>
      <c r="Z9" s="438"/>
      <c r="AA9" s="117"/>
      <c r="AB9" s="394"/>
      <c r="AC9" s="361"/>
      <c r="AD9" s="440">
        <v>8000</v>
      </c>
      <c r="AE9" s="81">
        <f>SUM(C9:AD9)</f>
        <v>8000</v>
      </c>
    </row>
    <row r="10" spans="1:31" s="1" customFormat="1" x14ac:dyDescent="0.2">
      <c r="A10" s="255"/>
      <c r="B10" s="74" t="s">
        <v>192</v>
      </c>
      <c r="C10" s="80"/>
      <c r="D10" s="302"/>
      <c r="E10" s="80"/>
      <c r="F10" s="80"/>
      <c r="G10" s="80"/>
      <c r="H10" s="80"/>
      <c r="I10" s="396"/>
      <c r="J10" s="393"/>
      <c r="K10" s="117"/>
      <c r="L10" s="117"/>
      <c r="M10" s="117"/>
      <c r="N10" s="394"/>
      <c r="O10" s="439"/>
      <c r="P10" s="79"/>
      <c r="Q10" s="79"/>
      <c r="R10" s="79"/>
      <c r="S10" s="393"/>
      <c r="T10" s="76"/>
      <c r="U10" s="76"/>
      <c r="V10" s="79"/>
      <c r="W10" s="393"/>
      <c r="X10" s="117"/>
      <c r="Y10" s="79"/>
      <c r="Z10" s="438"/>
      <c r="AA10" s="78"/>
      <c r="AB10" s="394"/>
      <c r="AC10" s="361"/>
      <c r="AD10" s="366"/>
      <c r="AE10" s="81">
        <f>SUM(C10:AD10)</f>
        <v>0</v>
      </c>
    </row>
    <row r="11" spans="1:31" s="1" customFormat="1" x14ac:dyDescent="0.2">
      <c r="A11" s="3" t="s">
        <v>193</v>
      </c>
      <c r="B11" s="74"/>
      <c r="C11" s="391"/>
      <c r="D11" s="436"/>
      <c r="E11" s="391"/>
      <c r="F11" s="391"/>
      <c r="G11" s="391"/>
      <c r="H11" s="391"/>
      <c r="I11" s="391"/>
      <c r="J11" s="388"/>
      <c r="K11" s="389"/>
      <c r="L11" s="389"/>
      <c r="M11" s="389"/>
      <c r="N11" s="118"/>
      <c r="O11" s="441"/>
      <c r="P11" s="387"/>
      <c r="Q11" s="387"/>
      <c r="R11" s="387"/>
      <c r="S11" s="388"/>
      <c r="T11" s="387"/>
      <c r="U11" s="387"/>
      <c r="V11" s="387"/>
      <c r="W11" s="388"/>
      <c r="X11" s="389"/>
      <c r="Y11" s="387"/>
      <c r="Z11" s="436"/>
      <c r="AA11" s="389"/>
      <c r="AB11" s="118"/>
      <c r="AC11" s="359"/>
      <c r="AD11" s="437"/>
      <c r="AE11" s="392"/>
    </row>
    <row r="12" spans="1:31" s="1" customFormat="1" x14ac:dyDescent="0.2">
      <c r="A12" s="255"/>
      <c r="B12" s="74" t="s">
        <v>195</v>
      </c>
      <c r="C12" s="396"/>
      <c r="D12" s="438"/>
      <c r="E12" s="396"/>
      <c r="F12" s="396"/>
      <c r="G12" s="396"/>
      <c r="H12" s="396"/>
      <c r="I12" s="396"/>
      <c r="J12" s="393"/>
      <c r="K12" s="117"/>
      <c r="L12" s="117"/>
      <c r="M12" s="117"/>
      <c r="N12" s="394"/>
      <c r="O12" s="439"/>
      <c r="P12" s="79"/>
      <c r="Q12" s="79"/>
      <c r="R12" s="79"/>
      <c r="S12" s="393"/>
      <c r="T12" s="79"/>
      <c r="U12" s="79"/>
      <c r="V12" s="79"/>
      <c r="W12" s="393"/>
      <c r="X12" s="117"/>
      <c r="Y12" s="79"/>
      <c r="Z12" s="438"/>
      <c r="AA12" s="117"/>
      <c r="AB12" s="394"/>
      <c r="AC12" s="361"/>
      <c r="AD12" s="440"/>
      <c r="AE12" s="81">
        <f>SUM(C12:AD12)</f>
        <v>0</v>
      </c>
    </row>
    <row r="13" spans="1:31" s="1" customFormat="1" x14ac:dyDescent="0.2">
      <c r="A13" s="255"/>
      <c r="B13" s="74" t="s">
        <v>9</v>
      </c>
      <c r="C13" s="80"/>
      <c r="D13" s="302"/>
      <c r="E13" s="80"/>
      <c r="F13" s="80"/>
      <c r="G13" s="80"/>
      <c r="H13" s="80"/>
      <c r="I13" s="80"/>
      <c r="J13" s="84"/>
      <c r="K13" s="78"/>
      <c r="L13" s="78"/>
      <c r="M13" s="78"/>
      <c r="N13" s="77"/>
      <c r="O13" s="348"/>
      <c r="P13" s="76"/>
      <c r="Q13" s="76"/>
      <c r="R13" s="76"/>
      <c r="S13" s="84"/>
      <c r="T13" s="79"/>
      <c r="U13" s="79"/>
      <c r="V13" s="76"/>
      <c r="W13" s="84"/>
      <c r="X13" s="78"/>
      <c r="Y13" s="76"/>
      <c r="Z13" s="302"/>
      <c r="AA13" s="78"/>
      <c r="AB13" s="77"/>
      <c r="AC13" s="361"/>
      <c r="AD13" s="366"/>
      <c r="AE13" s="81">
        <f>SUM(C13:AD13)</f>
        <v>0</v>
      </c>
    </row>
    <row r="14" spans="1:31" s="1" customFormat="1" x14ac:dyDescent="0.2">
      <c r="A14" s="3" t="s">
        <v>196</v>
      </c>
      <c r="B14" s="74"/>
      <c r="C14" s="391"/>
      <c r="D14" s="436"/>
      <c r="E14" s="391"/>
      <c r="F14" s="391"/>
      <c r="G14" s="391"/>
      <c r="H14" s="391"/>
      <c r="I14" s="391"/>
      <c r="J14" s="388"/>
      <c r="K14" s="389"/>
      <c r="L14" s="389"/>
      <c r="M14" s="389"/>
      <c r="N14" s="118"/>
      <c r="O14" s="441"/>
      <c r="P14" s="387"/>
      <c r="Q14" s="387"/>
      <c r="R14" s="387"/>
      <c r="S14" s="388"/>
      <c r="T14" s="387"/>
      <c r="U14" s="387"/>
      <c r="V14" s="387"/>
      <c r="W14" s="388"/>
      <c r="X14" s="389"/>
      <c r="Y14" s="387"/>
      <c r="Z14" s="436"/>
      <c r="AA14" s="389"/>
      <c r="AB14" s="118"/>
      <c r="AC14" s="359"/>
      <c r="AD14" s="437"/>
      <c r="AE14" s="392"/>
    </row>
    <row r="15" spans="1:31" s="1" customFormat="1" x14ac:dyDescent="0.2">
      <c r="A15" s="255"/>
      <c r="B15" s="68" t="s">
        <v>17</v>
      </c>
      <c r="C15" s="396">
        <v>0</v>
      </c>
      <c r="D15" s="438"/>
      <c r="E15" s="396"/>
      <c r="F15" s="396"/>
      <c r="G15" s="396"/>
      <c r="H15" s="396">
        <v>20000</v>
      </c>
      <c r="I15" s="396"/>
      <c r="J15" s="393"/>
      <c r="K15" s="117">
        <v>30000</v>
      </c>
      <c r="L15" s="117"/>
      <c r="M15" s="117"/>
      <c r="N15" s="394"/>
      <c r="O15" s="439"/>
      <c r="P15" s="79"/>
      <c r="Q15" s="79"/>
      <c r="R15" s="79"/>
      <c r="S15" s="393"/>
      <c r="T15" s="79"/>
      <c r="U15" s="79"/>
      <c r="V15" s="79"/>
      <c r="W15" s="393"/>
      <c r="X15" s="117"/>
      <c r="Y15" s="79"/>
      <c r="Z15" s="438"/>
      <c r="AA15" s="438"/>
      <c r="AB15" s="394"/>
      <c r="AC15" s="361"/>
      <c r="AD15" s="438"/>
      <c r="AE15" s="81">
        <f t="shared" ref="AE15:AE20" si="0">SUM(C15:AD15)</f>
        <v>50000</v>
      </c>
    </row>
    <row r="16" spans="1:31" s="1" customFormat="1" x14ac:dyDescent="0.2">
      <c r="A16" s="255"/>
      <c r="B16" s="74" t="s">
        <v>18</v>
      </c>
      <c r="C16" s="80"/>
      <c r="D16" s="302"/>
      <c r="E16" s="80"/>
      <c r="F16" s="80"/>
      <c r="G16" s="80"/>
      <c r="H16" s="80"/>
      <c r="I16" s="396"/>
      <c r="J16" s="393"/>
      <c r="K16" s="117">
        <v>25000</v>
      </c>
      <c r="L16" s="117"/>
      <c r="M16" s="117"/>
      <c r="N16" s="394"/>
      <c r="O16" s="439"/>
      <c r="P16" s="79"/>
      <c r="Q16" s="79"/>
      <c r="R16" s="79"/>
      <c r="S16" s="393"/>
      <c r="T16" s="76"/>
      <c r="U16" s="76"/>
      <c r="V16" s="79"/>
      <c r="W16" s="393"/>
      <c r="X16" s="117"/>
      <c r="Y16" s="76"/>
      <c r="Z16" s="302"/>
      <c r="AA16" s="78"/>
      <c r="AB16" s="77"/>
      <c r="AC16" s="361"/>
      <c r="AD16" s="366"/>
      <c r="AE16" s="81">
        <f t="shared" si="0"/>
        <v>25000</v>
      </c>
    </row>
    <row r="17" spans="1:31" s="1" customFormat="1" x14ac:dyDescent="0.2">
      <c r="A17" s="255"/>
      <c r="B17" s="74" t="s">
        <v>19</v>
      </c>
      <c r="C17" s="80"/>
      <c r="D17" s="302"/>
      <c r="E17" s="80"/>
      <c r="F17" s="80"/>
      <c r="G17" s="80"/>
      <c r="H17" s="80"/>
      <c r="I17" s="80"/>
      <c r="J17" s="302"/>
      <c r="K17" s="78"/>
      <c r="L17" s="78"/>
      <c r="M17" s="78"/>
      <c r="N17" s="77"/>
      <c r="O17" s="348"/>
      <c r="P17" s="76"/>
      <c r="Q17" s="76"/>
      <c r="R17" s="76"/>
      <c r="S17" s="84"/>
      <c r="T17" s="76"/>
      <c r="U17" s="76"/>
      <c r="V17" s="76"/>
      <c r="W17" s="84"/>
      <c r="X17" s="78"/>
      <c r="Y17" s="79"/>
      <c r="Z17" s="438"/>
      <c r="AA17" s="78"/>
      <c r="AB17" s="77"/>
      <c r="AC17" s="361"/>
      <c r="AD17" s="366"/>
      <c r="AE17" s="81">
        <f t="shared" si="0"/>
        <v>0</v>
      </c>
    </row>
    <row r="18" spans="1:31" s="1" customFormat="1" x14ac:dyDescent="0.2">
      <c r="A18" s="255"/>
      <c r="B18" s="74" t="s">
        <v>20</v>
      </c>
      <c r="C18" s="80"/>
      <c r="D18" s="302"/>
      <c r="E18" s="80"/>
      <c r="F18" s="80"/>
      <c r="G18" s="80"/>
      <c r="H18" s="80"/>
      <c r="I18" s="80"/>
      <c r="J18" s="302"/>
      <c r="K18" s="78"/>
      <c r="L18" s="78"/>
      <c r="M18" s="78"/>
      <c r="N18" s="77"/>
      <c r="O18" s="348"/>
      <c r="P18" s="76"/>
      <c r="Q18" s="76"/>
      <c r="R18" s="76"/>
      <c r="S18" s="84"/>
      <c r="T18" s="76"/>
      <c r="U18" s="79">
        <v>14520</v>
      </c>
      <c r="V18" s="76"/>
      <c r="W18" s="84"/>
      <c r="X18" s="78"/>
      <c r="Y18" s="76"/>
      <c r="Z18" s="302"/>
      <c r="AA18" s="78"/>
      <c r="AB18" s="77"/>
      <c r="AC18" s="361"/>
      <c r="AD18" s="366"/>
      <c r="AE18" s="81">
        <f t="shared" si="0"/>
        <v>14520</v>
      </c>
    </row>
    <row r="19" spans="1:31" s="73" customFormat="1" x14ac:dyDescent="0.2">
      <c r="A19" s="255"/>
      <c r="B19" s="104" t="s">
        <v>21</v>
      </c>
      <c r="C19" s="80"/>
      <c r="D19" s="302"/>
      <c r="E19" s="80"/>
      <c r="F19" s="80"/>
      <c r="G19" s="80"/>
      <c r="H19" s="80"/>
      <c r="I19" s="80"/>
      <c r="J19" s="302"/>
      <c r="K19" s="78"/>
      <c r="L19" s="78"/>
      <c r="M19" s="78"/>
      <c r="N19" s="77"/>
      <c r="O19" s="348"/>
      <c r="P19" s="76"/>
      <c r="Q19" s="76"/>
      <c r="R19" s="76"/>
      <c r="S19" s="84"/>
      <c r="T19" s="79"/>
      <c r="U19" s="79"/>
      <c r="V19" s="76"/>
      <c r="W19" s="84"/>
      <c r="X19" s="78"/>
      <c r="Y19" s="76"/>
      <c r="Z19" s="76"/>
      <c r="AA19" s="302"/>
      <c r="AB19" s="77"/>
      <c r="AC19" s="361"/>
      <c r="AD19" s="366"/>
      <c r="AE19" s="81">
        <f t="shared" si="0"/>
        <v>0</v>
      </c>
    </row>
    <row r="20" spans="1:31" s="73" customFormat="1" ht="13.5" thickBot="1" x14ac:dyDescent="0.25">
      <c r="A20" s="587" t="s">
        <v>243</v>
      </c>
      <c r="B20" s="587"/>
      <c r="C20" s="324"/>
      <c r="D20" s="228"/>
      <c r="E20" s="324"/>
      <c r="F20" s="324" t="s">
        <v>199</v>
      </c>
      <c r="G20" s="324"/>
      <c r="H20" s="442"/>
      <c r="I20" s="324"/>
      <c r="J20" s="228"/>
      <c r="K20" s="226"/>
      <c r="L20" s="226"/>
      <c r="M20" s="226"/>
      <c r="N20" s="228"/>
      <c r="O20" s="227"/>
      <c r="P20" s="226"/>
      <c r="Q20" s="226"/>
      <c r="R20" s="226"/>
      <c r="S20" s="406"/>
      <c r="T20" s="226"/>
      <c r="U20" s="226"/>
      <c r="V20" s="226"/>
      <c r="W20" s="228"/>
      <c r="X20" s="226"/>
      <c r="Y20" s="226"/>
      <c r="Z20" s="228"/>
      <c r="AA20" s="226"/>
      <c r="AB20" s="228" t="s">
        <v>199</v>
      </c>
      <c r="AC20" s="364"/>
      <c r="AD20" s="228"/>
      <c r="AE20" s="224">
        <f t="shared" si="0"/>
        <v>0</v>
      </c>
    </row>
    <row r="21" spans="1:31" s="1" customFormat="1" ht="26.25" customHeight="1" thickBot="1" x14ac:dyDescent="0.25">
      <c r="A21" s="564" t="s">
        <v>201</v>
      </c>
      <c r="B21" s="590"/>
      <c r="C21" s="276">
        <f>SUM(C6:C20)</f>
        <v>0</v>
      </c>
      <c r="D21" s="443">
        <f t="shared" ref="D21:AD21" si="1">SUM(D6:D20)</f>
        <v>0</v>
      </c>
      <c r="E21" s="276">
        <f t="shared" si="1"/>
        <v>0</v>
      </c>
      <c r="F21" s="276">
        <f t="shared" si="1"/>
        <v>0</v>
      </c>
      <c r="G21" s="276">
        <f t="shared" si="1"/>
        <v>0</v>
      </c>
      <c r="H21" s="276">
        <f t="shared" ref="H21:I21" si="2">SUM(H6:H20)</f>
        <v>38000</v>
      </c>
      <c r="I21" s="276">
        <f t="shared" si="2"/>
        <v>0</v>
      </c>
      <c r="J21" s="411">
        <f t="shared" si="1"/>
        <v>0</v>
      </c>
      <c r="K21" s="410">
        <f t="shared" si="1"/>
        <v>179260</v>
      </c>
      <c r="L21" s="410">
        <f t="shared" si="1"/>
        <v>0</v>
      </c>
      <c r="M21" s="410">
        <f t="shared" si="1"/>
        <v>0</v>
      </c>
      <c r="N21" s="413">
        <f t="shared" si="1"/>
        <v>0</v>
      </c>
      <c r="O21" s="275">
        <f t="shared" si="1"/>
        <v>0</v>
      </c>
      <c r="P21" s="410">
        <f t="shared" ref="P21:R21" si="3">SUM(P6:P20)</f>
        <v>0</v>
      </c>
      <c r="Q21" s="410">
        <f t="shared" si="3"/>
        <v>8660</v>
      </c>
      <c r="R21" s="410">
        <f t="shared" si="3"/>
        <v>0</v>
      </c>
      <c r="S21" s="411">
        <f t="shared" ref="S21" si="4">SUM(S6:S20)</f>
        <v>0</v>
      </c>
      <c r="T21" s="410">
        <f t="shared" si="1"/>
        <v>0</v>
      </c>
      <c r="U21" s="410">
        <f t="shared" si="1"/>
        <v>34520</v>
      </c>
      <c r="V21" s="410">
        <f t="shared" ref="V21:X21" si="5">SUM(V6:V20)</f>
        <v>0</v>
      </c>
      <c r="W21" s="411">
        <f t="shared" si="5"/>
        <v>0</v>
      </c>
      <c r="X21" s="410">
        <f t="shared" si="5"/>
        <v>0</v>
      </c>
      <c r="Y21" s="410">
        <f t="shared" ref="Y21:Z21" si="6">SUM(Y6:Y20)</f>
        <v>0</v>
      </c>
      <c r="Z21" s="410">
        <f t="shared" si="6"/>
        <v>0</v>
      </c>
      <c r="AA21" s="443">
        <f t="shared" si="1"/>
        <v>0</v>
      </c>
      <c r="AB21" s="413">
        <f t="shared" si="1"/>
        <v>0</v>
      </c>
      <c r="AC21" s="276">
        <f t="shared" ref="AC21" si="7">SUM(AC6:AC20)</f>
        <v>0</v>
      </c>
      <c r="AD21" s="411">
        <f t="shared" si="1"/>
        <v>26991</v>
      </c>
      <c r="AE21" s="416">
        <f>SUM(AE6:AE20)</f>
        <v>287431</v>
      </c>
    </row>
    <row r="22" spans="1:31" s="1" customFormat="1" ht="25.5" customHeight="1" thickBot="1" x14ac:dyDescent="0.25">
      <c r="A22" s="588" t="s">
        <v>202</v>
      </c>
      <c r="B22" s="589"/>
      <c r="C22" s="444"/>
      <c r="D22" s="445"/>
      <c r="E22" s="444"/>
      <c r="F22" s="444"/>
      <c r="G22" s="444"/>
      <c r="H22" s="446"/>
      <c r="I22" s="444"/>
      <c r="J22" s="447"/>
      <c r="K22" s="448"/>
      <c r="L22" s="448"/>
      <c r="M22" s="448"/>
      <c r="N22" s="449"/>
      <c r="O22" s="450"/>
      <c r="P22" s="448"/>
      <c r="Q22" s="448"/>
      <c r="R22" s="448"/>
      <c r="S22" s="447"/>
      <c r="T22" s="448"/>
      <c r="U22" s="448"/>
      <c r="V22" s="448"/>
      <c r="W22" s="447"/>
      <c r="X22" s="448"/>
      <c r="Y22" s="448"/>
      <c r="Z22" s="451"/>
      <c r="AA22" s="451"/>
      <c r="AB22" s="449"/>
      <c r="AC22" s="364"/>
      <c r="AD22" s="452"/>
      <c r="AE22" s="453">
        <f>SUM(C22:AD22)</f>
        <v>0</v>
      </c>
    </row>
    <row r="23" spans="1:31" s="1" customFormat="1" ht="12.75" customHeight="1" x14ac:dyDescent="0.2">
      <c r="A23" s="37" t="s">
        <v>203</v>
      </c>
      <c r="B23" s="73"/>
      <c r="C23" s="594"/>
      <c r="D23" s="598"/>
      <c r="E23" s="594"/>
      <c r="F23" s="594"/>
      <c r="G23" s="594"/>
      <c r="H23" s="592">
        <v>500</v>
      </c>
      <c r="I23" s="594"/>
      <c r="J23" s="584"/>
      <c r="K23" s="582">
        <v>6000</v>
      </c>
      <c r="L23" s="582"/>
      <c r="M23" s="582"/>
      <c r="N23" s="591"/>
      <c r="O23" s="606"/>
      <c r="P23" s="582"/>
      <c r="Q23" s="582">
        <v>100</v>
      </c>
      <c r="R23" s="582"/>
      <c r="S23" s="584"/>
      <c r="T23" s="582"/>
      <c r="U23" s="582">
        <v>4000</v>
      </c>
      <c r="V23" s="582"/>
      <c r="W23" s="584"/>
      <c r="X23" s="582"/>
      <c r="Y23" s="582"/>
      <c r="Z23" s="583"/>
      <c r="AA23" s="583"/>
      <c r="AB23" s="591"/>
      <c r="AC23" s="594"/>
      <c r="AD23" s="610"/>
      <c r="AE23" s="536"/>
    </row>
    <row r="24" spans="1:31" s="1" customFormat="1" ht="12.75" customHeight="1" x14ac:dyDescent="0.2">
      <c r="A24" s="548" t="s">
        <v>244</v>
      </c>
      <c r="B24" s="600"/>
      <c r="C24" s="523"/>
      <c r="D24" s="599"/>
      <c r="E24" s="523"/>
      <c r="F24" s="523"/>
      <c r="G24" s="523"/>
      <c r="H24" s="593"/>
      <c r="I24" s="523"/>
      <c r="J24" s="506"/>
      <c r="K24" s="517"/>
      <c r="L24" s="517"/>
      <c r="M24" s="517"/>
      <c r="N24" s="525"/>
      <c r="O24" s="607"/>
      <c r="P24" s="517"/>
      <c r="Q24" s="517"/>
      <c r="R24" s="517"/>
      <c r="S24" s="506"/>
      <c r="T24" s="517"/>
      <c r="U24" s="517"/>
      <c r="V24" s="517"/>
      <c r="W24" s="506"/>
      <c r="X24" s="517"/>
      <c r="Y24" s="517"/>
      <c r="Z24" s="541"/>
      <c r="AA24" s="541"/>
      <c r="AB24" s="525"/>
      <c r="AC24" s="523"/>
      <c r="AD24" s="611"/>
      <c r="AE24" s="537"/>
    </row>
    <row r="25" spans="1:31" s="4" customFormat="1" ht="18" customHeight="1" x14ac:dyDescent="0.2">
      <c r="A25" s="596" t="s">
        <v>205</v>
      </c>
      <c r="B25" s="597"/>
      <c r="C25" s="323" t="s">
        <v>206</v>
      </c>
      <c r="D25" s="323" t="s">
        <v>214</v>
      </c>
      <c r="E25" s="323" t="s">
        <v>206</v>
      </c>
      <c r="F25" s="322" t="s">
        <v>208</v>
      </c>
      <c r="G25" s="323" t="s">
        <v>207</v>
      </c>
      <c r="H25" s="319" t="s">
        <v>217</v>
      </c>
      <c r="I25" s="322" t="s">
        <v>245</v>
      </c>
      <c r="J25" s="298" t="s">
        <v>208</v>
      </c>
      <c r="K25" s="38" t="s">
        <v>208</v>
      </c>
      <c r="L25" s="38" t="s">
        <v>208</v>
      </c>
      <c r="M25" s="38" t="s">
        <v>208</v>
      </c>
      <c r="N25" s="57" t="s">
        <v>246</v>
      </c>
      <c r="O25" s="39" t="s">
        <v>215</v>
      </c>
      <c r="P25" s="38" t="s">
        <v>216</v>
      </c>
      <c r="Q25" s="38" t="s">
        <v>208</v>
      </c>
      <c r="R25" s="38" t="s">
        <v>216</v>
      </c>
      <c r="S25" s="298" t="s">
        <v>208</v>
      </c>
      <c r="T25" s="38" t="s">
        <v>211</v>
      </c>
      <c r="U25" s="38" t="s">
        <v>212</v>
      </c>
      <c r="V25" s="38" t="s">
        <v>208</v>
      </c>
      <c r="W25" s="300" t="s">
        <v>208</v>
      </c>
      <c r="X25" s="38" t="s">
        <v>218</v>
      </c>
      <c r="Y25" s="38" t="s">
        <v>210</v>
      </c>
      <c r="Z25" s="300" t="s">
        <v>210</v>
      </c>
      <c r="AA25" s="44" t="s">
        <v>247</v>
      </c>
      <c r="AB25" s="57" t="s">
        <v>246</v>
      </c>
      <c r="AC25" s="322" t="s">
        <v>219</v>
      </c>
      <c r="AD25" s="454"/>
      <c r="AE25" s="434"/>
    </row>
    <row r="26" spans="1:31" ht="18" customHeight="1" x14ac:dyDescent="0.2">
      <c r="A26" s="74" t="s">
        <v>220</v>
      </c>
      <c r="B26" s="40"/>
      <c r="C26" s="45" t="str">
        <f t="shared" ref="C26:AC26" si="8">IF(C23=0," ",C21/C23)</f>
        <v xml:space="preserve"> </v>
      </c>
      <c r="D26" s="61" t="str">
        <f t="shared" si="8"/>
        <v xml:space="preserve"> </v>
      </c>
      <c r="E26" s="45" t="str">
        <f t="shared" si="8"/>
        <v xml:space="preserve"> </v>
      </c>
      <c r="F26" s="45" t="str">
        <f t="shared" si="8"/>
        <v xml:space="preserve"> </v>
      </c>
      <c r="G26" s="45" t="str">
        <f t="shared" si="8"/>
        <v xml:space="preserve"> </v>
      </c>
      <c r="H26" s="45">
        <f t="shared" ref="H26" si="9">IF(H23=0," ",H21/H23)</f>
        <v>76</v>
      </c>
      <c r="I26" s="45" t="str">
        <f t="shared" si="8"/>
        <v xml:space="preserve"> </v>
      </c>
      <c r="J26" s="12" t="str">
        <f t="shared" si="8"/>
        <v xml:space="preserve"> </v>
      </c>
      <c r="K26" s="10">
        <f t="shared" si="8"/>
        <v>29.876666666666665</v>
      </c>
      <c r="L26" s="10" t="str">
        <f t="shared" si="8"/>
        <v xml:space="preserve"> </v>
      </c>
      <c r="M26" s="10" t="str">
        <f t="shared" si="8"/>
        <v xml:space="preserve"> </v>
      </c>
      <c r="N26" s="13" t="str">
        <f t="shared" si="8"/>
        <v xml:space="preserve"> </v>
      </c>
      <c r="O26" s="349" t="str">
        <f t="shared" si="8"/>
        <v xml:space="preserve"> </v>
      </c>
      <c r="P26" s="10" t="str">
        <f t="shared" ref="P26:R26" si="10">IF(P23=0," ",P21/P23)</f>
        <v xml:space="preserve"> </v>
      </c>
      <c r="Q26" s="10">
        <f t="shared" si="10"/>
        <v>86.6</v>
      </c>
      <c r="R26" s="10" t="str">
        <f t="shared" si="10"/>
        <v xml:space="preserve"> </v>
      </c>
      <c r="S26" s="12" t="str">
        <f t="shared" ref="S26" si="11">IF(S23=0," ",S21/S23)</f>
        <v xml:space="preserve"> </v>
      </c>
      <c r="T26" s="10" t="str">
        <f t="shared" si="8"/>
        <v xml:space="preserve"> </v>
      </c>
      <c r="U26" s="10">
        <f t="shared" si="8"/>
        <v>8.6300000000000008</v>
      </c>
      <c r="V26" s="10" t="str">
        <f t="shared" ref="V26:X26" si="12">IF(V23=0," ",V21/V23)</f>
        <v xml:space="preserve"> </v>
      </c>
      <c r="W26" s="12" t="str">
        <f t="shared" si="12"/>
        <v xml:space="preserve"> </v>
      </c>
      <c r="X26" s="10" t="str">
        <f t="shared" si="12"/>
        <v xml:space="preserve"> </v>
      </c>
      <c r="Y26" s="10" t="str">
        <f t="shared" ref="Y26:Z26" si="13">IF(Y23=0," ",Y21/Y23)</f>
        <v xml:space="preserve"> </v>
      </c>
      <c r="Z26" s="61" t="str">
        <f t="shared" si="13"/>
        <v xml:space="preserve"> </v>
      </c>
      <c r="AA26" s="10" t="str">
        <f t="shared" si="8"/>
        <v xml:space="preserve"> </v>
      </c>
      <c r="AB26" s="13" t="str">
        <f t="shared" si="8"/>
        <v xml:space="preserve"> </v>
      </c>
      <c r="AC26" s="45" t="str">
        <f t="shared" si="8"/>
        <v xml:space="preserve"> </v>
      </c>
      <c r="AD26" s="367"/>
      <c r="AE26" s="26"/>
    </row>
    <row r="27" spans="1:31" ht="18" customHeight="1" x14ac:dyDescent="0.2">
      <c r="A27" s="104" t="s">
        <v>248</v>
      </c>
      <c r="B27" s="42"/>
      <c r="C27" s="311"/>
      <c r="D27" s="314"/>
      <c r="E27" s="315"/>
      <c r="F27" s="311"/>
      <c r="G27" s="311"/>
      <c r="H27" s="320" t="s">
        <v>249</v>
      </c>
      <c r="I27" s="311"/>
      <c r="J27" s="303"/>
      <c r="K27" s="107">
        <v>20</v>
      </c>
      <c r="L27" s="107"/>
      <c r="M27" s="107"/>
      <c r="N27" s="108"/>
      <c r="O27" s="110"/>
      <c r="P27" s="109"/>
      <c r="Q27" s="109">
        <v>10</v>
      </c>
      <c r="R27" s="109"/>
      <c r="S27" s="303"/>
      <c r="T27" s="109"/>
      <c r="U27" s="109">
        <v>17</v>
      </c>
      <c r="V27" s="109"/>
      <c r="W27" s="303"/>
      <c r="X27" s="107"/>
      <c r="Y27" s="109"/>
      <c r="Z27" s="111"/>
      <c r="AA27" s="107"/>
      <c r="AB27" s="108"/>
      <c r="AC27" s="311"/>
      <c r="AD27" s="368"/>
      <c r="AE27" s="112"/>
    </row>
    <row r="28" spans="1:31" ht="18" customHeight="1" x14ac:dyDescent="0.2">
      <c r="A28" s="74" t="s">
        <v>250</v>
      </c>
      <c r="B28" s="40"/>
      <c r="C28" s="312"/>
      <c r="D28" s="135"/>
      <c r="E28" s="312"/>
      <c r="F28" s="312"/>
      <c r="G28" s="312"/>
      <c r="H28" s="312">
        <v>15</v>
      </c>
      <c r="I28" s="312"/>
      <c r="J28" s="304"/>
      <c r="K28" s="132">
        <v>20</v>
      </c>
      <c r="L28" s="132"/>
      <c r="M28" s="113"/>
      <c r="N28" s="129"/>
      <c r="O28" s="134"/>
      <c r="P28" s="128"/>
      <c r="Q28" s="128">
        <v>10</v>
      </c>
      <c r="R28" s="128"/>
      <c r="S28" s="347"/>
      <c r="T28" s="128"/>
      <c r="U28" s="128">
        <v>17</v>
      </c>
      <c r="V28" s="128"/>
      <c r="W28" s="347"/>
      <c r="X28" s="132"/>
      <c r="Y28" s="128"/>
      <c r="Z28" s="135"/>
      <c r="AA28" s="132"/>
      <c r="AB28" s="129"/>
      <c r="AC28" s="312"/>
      <c r="AD28" s="369"/>
      <c r="AE28" s="114"/>
    </row>
    <row r="29" spans="1:31" ht="18" customHeight="1" thickBot="1" x14ac:dyDescent="0.25">
      <c r="A29" s="105" t="s">
        <v>251</v>
      </c>
      <c r="C29" s="313"/>
      <c r="D29" s="131"/>
      <c r="E29" s="313"/>
      <c r="F29" s="313"/>
      <c r="G29" s="313"/>
      <c r="H29" s="321"/>
      <c r="I29" s="313"/>
      <c r="J29" s="305"/>
      <c r="K29" s="133">
        <v>20</v>
      </c>
      <c r="L29" s="133"/>
      <c r="M29" s="133"/>
      <c r="N29" s="136"/>
      <c r="O29" s="350"/>
      <c r="P29" s="351"/>
      <c r="Q29" s="351">
        <v>10</v>
      </c>
      <c r="R29" s="351"/>
      <c r="S29" s="352"/>
      <c r="T29" s="130"/>
      <c r="U29" s="130">
        <v>17</v>
      </c>
      <c r="V29" s="133"/>
      <c r="W29" s="305"/>
      <c r="X29" s="133"/>
      <c r="Y29" s="130"/>
      <c r="Z29" s="131"/>
      <c r="AA29" s="137"/>
      <c r="AB29" s="139"/>
      <c r="AC29" s="313"/>
      <c r="AD29" s="370"/>
      <c r="AE29" s="115"/>
    </row>
    <row r="30" spans="1:31" x14ac:dyDescent="0.2">
      <c r="A30" s="595"/>
      <c r="B30" s="595"/>
      <c r="C30" s="102"/>
      <c r="D30" s="102"/>
      <c r="E30" s="102"/>
      <c r="F30" s="103"/>
      <c r="G30" s="103"/>
      <c r="H30" s="103"/>
      <c r="I30" s="103"/>
      <c r="J30" s="102"/>
      <c r="K30" s="102"/>
      <c r="L30" s="103"/>
      <c r="M30" s="102"/>
      <c r="N30" s="102"/>
      <c r="O30" s="102"/>
      <c r="P30" s="102"/>
      <c r="Q30" s="102"/>
      <c r="R30" s="102"/>
      <c r="S30" s="102"/>
      <c r="T30" s="102"/>
      <c r="U30" s="102"/>
      <c r="V30" s="102"/>
      <c r="W30" s="102"/>
      <c r="X30" s="102"/>
      <c r="Y30" s="102"/>
      <c r="Z30" s="102"/>
      <c r="AA30" s="102"/>
      <c r="AB30" s="102"/>
      <c r="AC30" s="102"/>
      <c r="AD30" s="102"/>
      <c r="AE30" s="102"/>
    </row>
    <row r="31" spans="1:31" x14ac:dyDescent="0.2">
      <c r="A31" s="602" t="s">
        <v>222</v>
      </c>
      <c r="B31" s="602"/>
      <c r="C31" s="602"/>
      <c r="D31" s="602"/>
      <c r="E31" s="602"/>
      <c r="F31" s="602"/>
      <c r="G31" s="602"/>
      <c r="H31" s="602"/>
      <c r="I31" s="602"/>
      <c r="J31" s="602"/>
      <c r="K31" s="602"/>
      <c r="L31" s="602"/>
      <c r="M31" s="602"/>
      <c r="N31" s="602"/>
      <c r="O31" s="602"/>
      <c r="P31" s="602"/>
      <c r="Q31" s="602"/>
      <c r="R31" s="602"/>
      <c r="S31" s="602"/>
      <c r="T31" s="602"/>
      <c r="U31" s="602"/>
      <c r="V31" s="602"/>
      <c r="W31" s="602"/>
      <c r="X31" s="602"/>
      <c r="Y31" s="602"/>
      <c r="Z31" s="602"/>
      <c r="AA31" s="602"/>
      <c r="AB31" s="602"/>
    </row>
    <row r="32" spans="1:31" x14ac:dyDescent="0.2">
      <c r="A32" s="70">
        <f>Summary!A30</f>
        <v>45783</v>
      </c>
      <c r="C32" s="601"/>
      <c r="D32" s="601"/>
      <c r="E32" s="601"/>
      <c r="F32" s="601"/>
      <c r="G32" s="601"/>
      <c r="H32" s="601"/>
      <c r="I32" s="601"/>
      <c r="J32" s="601"/>
      <c r="K32" s="601"/>
      <c r="L32" s="601"/>
      <c r="M32" s="601"/>
      <c r="N32" s="601"/>
      <c r="O32" s="601"/>
      <c r="P32" s="601"/>
      <c r="Q32" s="601"/>
      <c r="R32" s="601"/>
      <c r="S32" s="601"/>
      <c r="T32" s="601"/>
      <c r="U32" s="601"/>
      <c r="V32" s="106"/>
      <c r="W32" s="106"/>
      <c r="X32" s="106"/>
      <c r="Y32" s="106"/>
      <c r="Z32" s="106"/>
      <c r="AA32" s="106"/>
      <c r="AB32" s="106"/>
    </row>
    <row r="45" ht="14.25" customHeight="1" x14ac:dyDescent="0.2"/>
    <row r="66" spans="1:1" x14ac:dyDescent="0.2">
      <c r="A66" s="11"/>
    </row>
  </sheetData>
  <sheetProtection algorithmName="SHA-512" hashValue="bS6DhAi3gqTcZMpfPvoBejePkEOXwotFz7MwBxz2cIkJQKvJIn8xUKQP1p59Qv7VPSLgj9PCL361fuWJiUJq+A==" saltValue="YcoVKHDfMk5W5ygGE0MdvQ==" spinCount="100000" sheet="1" objects="1" scenarios="1"/>
  <mergeCells count="42">
    <mergeCell ref="AC23:AC24"/>
    <mergeCell ref="C32:U32"/>
    <mergeCell ref="A31:AB31"/>
    <mergeCell ref="AE23:AE24"/>
    <mergeCell ref="O3:AB3"/>
    <mergeCell ref="AB23:AB24"/>
    <mergeCell ref="O23:O24"/>
    <mergeCell ref="T23:T24"/>
    <mergeCell ref="U23:U24"/>
    <mergeCell ref="AA23:AA24"/>
    <mergeCell ref="AE3:AE4"/>
    <mergeCell ref="AD23:AD24"/>
    <mergeCell ref="K23:K24"/>
    <mergeCell ref="L23:L24"/>
    <mergeCell ref="S23:S24"/>
    <mergeCell ref="P23:P24"/>
    <mergeCell ref="Q23:Q24"/>
    <mergeCell ref="A30:B30"/>
    <mergeCell ref="A25:B25"/>
    <mergeCell ref="C23:C24"/>
    <mergeCell ref="D23:D24"/>
    <mergeCell ref="E23:E24"/>
    <mergeCell ref="A24:B24"/>
    <mergeCell ref="J3:N3"/>
    <mergeCell ref="A4:B4"/>
    <mergeCell ref="A3:B3"/>
    <mergeCell ref="M23:M24"/>
    <mergeCell ref="A20:B20"/>
    <mergeCell ref="A22:B22"/>
    <mergeCell ref="J23:J24"/>
    <mergeCell ref="A21:B21"/>
    <mergeCell ref="N23:N24"/>
    <mergeCell ref="H23:H24"/>
    <mergeCell ref="F23:F24"/>
    <mergeCell ref="G23:G24"/>
    <mergeCell ref="I23:I24"/>
    <mergeCell ref="R23:R24"/>
    <mergeCell ref="Y23:Y24"/>
    <mergeCell ref="Z23:Z24"/>
    <mergeCell ref="V23:V24"/>
    <mergeCell ref="X23:X24"/>
    <mergeCell ref="W23:W24"/>
  </mergeCells>
  <phoneticPr fontId="0" type="noConversion"/>
  <conditionalFormatting sqref="C27">
    <cfRule type="expression" dxfId="18" priority="18">
      <formula>AND(C$21&gt;0,C27=0)</formula>
    </cfRule>
  </conditionalFormatting>
  <conditionalFormatting sqref="C28:E29">
    <cfRule type="expression" dxfId="17" priority="19">
      <formula>AND(C$21&gt;0,C28=0)</formula>
    </cfRule>
  </conditionalFormatting>
  <conditionalFormatting sqref="F27:G29">
    <cfRule type="expression" dxfId="16" priority="9">
      <formula>AND(F$21&gt;0,F27=0)</formula>
    </cfRule>
  </conditionalFormatting>
  <conditionalFormatting sqref="H28">
    <cfRule type="expression" dxfId="15" priority="17">
      <formula>AND(H$21&gt;0,H28=0)</formula>
    </cfRule>
  </conditionalFormatting>
  <conditionalFormatting sqref="I27:I29">
    <cfRule type="expression" dxfId="14" priority="15">
      <formula>AND(I$21&gt;0,I27=0)</formula>
    </cfRule>
  </conditionalFormatting>
  <conditionalFormatting sqref="J27 M27:O27 N28:O28 J29 M29:O29">
    <cfRule type="expression" dxfId="13" priority="20">
      <formula>AND(J$21&gt;0,J27=0)</formula>
    </cfRule>
  </conditionalFormatting>
  <conditionalFormatting sqref="K27:L29">
    <cfRule type="expression" dxfId="12" priority="8">
      <formula>AND(K$21&gt;0,K27=0)</formula>
    </cfRule>
  </conditionalFormatting>
  <conditionalFormatting sqref="P27:AC29">
    <cfRule type="expression" dxfId="11" priority="1">
      <formula>AND(P$21&gt;0,P27=0)</formula>
    </cfRule>
  </conditionalFormatting>
  <printOptions headings="1"/>
  <pageMargins left="0.56000000000000005" right="0.38" top="0.75" bottom="0.48" header="0.44" footer="0.5"/>
  <pageSetup scale="73" fitToWidth="0" orientation="landscape" r:id="rId1"/>
  <headerFooter alignWithMargins="0">
    <oddHeader xml:space="preserve">&amp;C&amp;"Arial,Bold"&amp;12Title III - E
&amp;"Arial,Regular"&amp;10
</oddHeader>
    <oddFooter xml:space="preserve">&amp;CPage &amp;P of &amp;N&amp;R&amp;6&amp;F &amp;A
Printed &amp;D
</oddFooter>
  </headerFooter>
  <colBreaks count="4" manualBreakCount="4">
    <brk id="8" max="31" man="1"/>
    <brk id="14" max="31" man="1"/>
    <brk id="20" max="31" man="1"/>
    <brk id="26"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sheetPr>
  <dimension ref="A1:AF66"/>
  <sheetViews>
    <sheetView showGridLines="0" showZeros="0" topLeftCell="Q1" zoomScale="80" zoomScaleNormal="80" zoomScaleSheetLayoutView="100" workbookViewId="0">
      <selection activeCell="AB9" sqref="AB9"/>
    </sheetView>
  </sheetViews>
  <sheetFormatPr defaultRowHeight="12.75" x14ac:dyDescent="0.2"/>
  <cols>
    <col min="1" max="1" width="7.85546875" customWidth="1"/>
    <col min="2" max="2" width="27.42578125" customWidth="1"/>
    <col min="3" max="29" width="16.85546875" style="9" customWidth="1"/>
    <col min="30" max="30" width="14.85546875" style="9" customWidth="1"/>
    <col min="31" max="31" width="2.140625" customWidth="1"/>
    <col min="32" max="32" width="14.42578125" customWidth="1"/>
  </cols>
  <sheetData>
    <row r="1" spans="1:32" x14ac:dyDescent="0.2">
      <c r="A1" s="6" t="s">
        <v>80</v>
      </c>
      <c r="B1" s="20">
        <f>Summary!H1</f>
        <v>14</v>
      </c>
      <c r="C1" s="5"/>
      <c r="D1" s="5"/>
      <c r="E1" s="5"/>
      <c r="F1" s="5"/>
      <c r="G1" s="5"/>
      <c r="H1"/>
      <c r="I1"/>
      <c r="J1"/>
      <c r="K1"/>
      <c r="L1"/>
      <c r="M1"/>
      <c r="N1"/>
      <c r="O1"/>
      <c r="P1"/>
      <c r="Q1"/>
      <c r="R1"/>
      <c r="S1"/>
      <c r="T1"/>
      <c r="U1"/>
      <c r="V1"/>
      <c r="W1"/>
      <c r="X1"/>
      <c r="Y1"/>
      <c r="Z1"/>
      <c r="AA1"/>
      <c r="AB1"/>
      <c r="AC1"/>
      <c r="AD1"/>
    </row>
    <row r="2" spans="1:32" ht="13.5" thickBot="1" x14ac:dyDescent="0.25">
      <c r="A2" s="6"/>
      <c r="B2" s="20"/>
      <c r="C2" s="248" t="s">
        <v>137</v>
      </c>
      <c r="D2" s="252"/>
      <c r="E2" s="252"/>
      <c r="F2" s="252"/>
      <c r="G2" s="252"/>
      <c r="H2" s="250"/>
      <c r="I2" s="250"/>
      <c r="J2" s="250"/>
      <c r="K2" s="250"/>
      <c r="L2" s="250"/>
      <c r="M2" s="250"/>
      <c r="N2" s="250"/>
      <c r="O2" s="250"/>
      <c r="P2" s="250"/>
      <c r="Q2" s="250"/>
      <c r="R2" s="250"/>
      <c r="S2" s="250"/>
      <c r="T2" s="250"/>
      <c r="U2" s="250"/>
      <c r="V2" s="250"/>
      <c r="W2" s="250"/>
      <c r="X2" s="250"/>
      <c r="Y2" s="250"/>
      <c r="Z2" s="250"/>
      <c r="AA2" s="250"/>
      <c r="AB2" s="250"/>
      <c r="AC2" s="250"/>
      <c r="AD2" s="250"/>
      <c r="AE2" s="253"/>
      <c r="AF2" s="253"/>
    </row>
    <row r="3" spans="1:32" ht="68.25" customHeight="1" thickBot="1" x14ac:dyDescent="0.3">
      <c r="A3" s="558" t="s">
        <v>138</v>
      </c>
      <c r="B3" s="558"/>
      <c r="C3" s="316" t="s">
        <v>224</v>
      </c>
      <c r="D3" s="317" t="s">
        <v>225</v>
      </c>
      <c r="E3" s="316" t="s">
        <v>226</v>
      </c>
      <c r="F3" s="316" t="s">
        <v>227</v>
      </c>
      <c r="G3" s="316" t="s">
        <v>228</v>
      </c>
      <c r="H3" s="316" t="s">
        <v>252</v>
      </c>
      <c r="I3" s="316" t="s">
        <v>229</v>
      </c>
      <c r="J3" s="605" t="s">
        <v>93</v>
      </c>
      <c r="K3" s="605"/>
      <c r="L3" s="605"/>
      <c r="M3" s="585"/>
      <c r="N3" s="585"/>
      <c r="O3" s="603" t="s">
        <v>95</v>
      </c>
      <c r="P3" s="604"/>
      <c r="Q3" s="604"/>
      <c r="R3" s="604"/>
      <c r="S3" s="604"/>
      <c r="T3" s="604"/>
      <c r="U3" s="604"/>
      <c r="V3" s="604"/>
      <c r="W3" s="604"/>
      <c r="X3" s="604"/>
      <c r="Y3" s="604"/>
      <c r="Z3" s="604"/>
      <c r="AA3" s="604"/>
      <c r="AB3" s="605"/>
      <c r="AC3" s="363" t="s">
        <v>183</v>
      </c>
      <c r="AD3" s="614" t="s">
        <v>253</v>
      </c>
      <c r="AF3" s="612" t="s">
        <v>254</v>
      </c>
    </row>
    <row r="4" spans="1:32" s="2" customFormat="1" ht="55.5" customHeight="1" thickBot="1" x14ac:dyDescent="0.25">
      <c r="A4" s="562" t="s">
        <v>149</v>
      </c>
      <c r="B4" s="586"/>
      <c r="C4" s="310" t="s">
        <v>224</v>
      </c>
      <c r="D4" s="18" t="s">
        <v>225</v>
      </c>
      <c r="E4" s="310" t="s">
        <v>226</v>
      </c>
      <c r="F4" s="333" t="s">
        <v>227</v>
      </c>
      <c r="G4" s="342" t="s">
        <v>158</v>
      </c>
      <c r="H4" s="340" t="s">
        <v>252</v>
      </c>
      <c r="I4" s="340" t="s">
        <v>229</v>
      </c>
      <c r="J4" s="306" t="s">
        <v>231</v>
      </c>
      <c r="K4" s="344" t="s">
        <v>232</v>
      </c>
      <c r="L4" s="344" t="s">
        <v>233</v>
      </c>
      <c r="M4" s="344" t="s">
        <v>234</v>
      </c>
      <c r="N4" s="307" t="s">
        <v>235</v>
      </c>
      <c r="O4" s="353" t="s">
        <v>236</v>
      </c>
      <c r="P4" s="346" t="s">
        <v>237</v>
      </c>
      <c r="Q4" s="346" t="s">
        <v>152</v>
      </c>
      <c r="R4" s="346" t="s">
        <v>171</v>
      </c>
      <c r="S4" s="331" t="s">
        <v>238</v>
      </c>
      <c r="T4" s="345" t="s">
        <v>161</v>
      </c>
      <c r="U4" s="345" t="s">
        <v>20</v>
      </c>
      <c r="V4" s="344" t="s">
        <v>153</v>
      </c>
      <c r="W4" s="344" t="s">
        <v>154</v>
      </c>
      <c r="X4" s="346" t="s">
        <v>177</v>
      </c>
      <c r="Y4" s="345" t="s">
        <v>19</v>
      </c>
      <c r="Z4" s="343" t="s">
        <v>160</v>
      </c>
      <c r="AA4" s="344" t="s">
        <v>241</v>
      </c>
      <c r="AB4" s="307" t="s">
        <v>242</v>
      </c>
      <c r="AC4" s="371" t="s">
        <v>183</v>
      </c>
      <c r="AD4" s="615"/>
      <c r="AF4" s="613"/>
    </row>
    <row r="5" spans="1:32" s="1" customFormat="1" ht="24" customHeight="1" thickBot="1" x14ac:dyDescent="0.25">
      <c r="A5" s="3" t="s">
        <v>186</v>
      </c>
      <c r="B5" s="74"/>
      <c r="C5" s="391"/>
      <c r="D5" s="436"/>
      <c r="E5" s="391"/>
      <c r="F5" s="391"/>
      <c r="G5" s="441"/>
      <c r="H5" s="455"/>
      <c r="I5" s="455"/>
      <c r="J5" s="456"/>
      <c r="K5" s="457"/>
      <c r="L5" s="457"/>
      <c r="M5" s="457"/>
      <c r="N5" s="458"/>
      <c r="O5" s="386"/>
      <c r="P5" s="386"/>
      <c r="Q5" s="386"/>
      <c r="R5" s="386"/>
      <c r="S5" s="386"/>
      <c r="T5" s="459"/>
      <c r="U5" s="459"/>
      <c r="V5" s="457"/>
      <c r="W5" s="457"/>
      <c r="X5" s="389"/>
      <c r="Y5" s="459"/>
      <c r="Z5" s="460"/>
      <c r="AA5" s="457"/>
      <c r="AB5" s="458"/>
      <c r="AC5" s="359"/>
      <c r="AD5" s="461"/>
      <c r="AE5" s="73"/>
      <c r="AF5" s="462"/>
    </row>
    <row r="6" spans="1:32" s="1" customFormat="1" x14ac:dyDescent="0.2">
      <c r="A6" s="255"/>
      <c r="B6" s="74" t="s">
        <v>7</v>
      </c>
      <c r="C6" s="396"/>
      <c r="D6" s="438"/>
      <c r="E6" s="396"/>
      <c r="F6" s="396"/>
      <c r="G6" s="439"/>
      <c r="H6" s="463"/>
      <c r="I6" s="464"/>
      <c r="J6" s="393"/>
      <c r="K6" s="117"/>
      <c r="L6" s="117"/>
      <c r="M6" s="117"/>
      <c r="N6" s="394"/>
      <c r="O6" s="439"/>
      <c r="P6" s="79"/>
      <c r="Q6" s="79"/>
      <c r="R6" s="79"/>
      <c r="S6" s="393"/>
      <c r="T6" s="79"/>
      <c r="U6" s="79"/>
      <c r="V6" s="117"/>
      <c r="W6" s="117"/>
      <c r="X6" s="117"/>
      <c r="Y6" s="79"/>
      <c r="Z6" s="438"/>
      <c r="AA6" s="117"/>
      <c r="AB6" s="394"/>
      <c r="AC6" s="360"/>
      <c r="AD6" s="81">
        <f>SUM(C6:AC6)</f>
        <v>0</v>
      </c>
      <c r="AE6" s="73"/>
      <c r="AF6" s="465">
        <f>'Title III-E'!AE6+'III-E Grandparents'!AD6</f>
        <v>189911</v>
      </c>
    </row>
    <row r="7" spans="1:32" s="1" customFormat="1" x14ac:dyDescent="0.2">
      <c r="A7" s="3" t="s">
        <v>189</v>
      </c>
      <c r="B7" s="74"/>
      <c r="C7" s="391"/>
      <c r="D7" s="436"/>
      <c r="E7" s="391"/>
      <c r="F7" s="391"/>
      <c r="G7" s="441"/>
      <c r="H7" s="391"/>
      <c r="I7" s="391"/>
      <c r="J7" s="388"/>
      <c r="K7" s="389"/>
      <c r="L7" s="389"/>
      <c r="M7" s="389"/>
      <c r="N7" s="118"/>
      <c r="O7" s="441"/>
      <c r="P7" s="387"/>
      <c r="Q7" s="387"/>
      <c r="R7" s="387"/>
      <c r="S7" s="388"/>
      <c r="T7" s="387"/>
      <c r="U7" s="387"/>
      <c r="V7" s="389"/>
      <c r="W7" s="389"/>
      <c r="X7" s="389"/>
      <c r="Y7" s="387"/>
      <c r="Z7" s="436"/>
      <c r="AA7" s="389"/>
      <c r="AB7" s="118"/>
      <c r="AC7" s="359"/>
      <c r="AD7" s="392"/>
      <c r="AE7" s="73"/>
      <c r="AF7" s="462"/>
    </row>
    <row r="8" spans="1:32" s="1" customFormat="1" x14ac:dyDescent="0.2">
      <c r="A8" s="255"/>
      <c r="B8" s="74" t="s">
        <v>190</v>
      </c>
      <c r="C8" s="396"/>
      <c r="D8" s="438"/>
      <c r="E8" s="396"/>
      <c r="F8" s="396"/>
      <c r="G8" s="439"/>
      <c r="H8" s="396"/>
      <c r="I8" s="396"/>
      <c r="J8" s="393"/>
      <c r="K8" s="117"/>
      <c r="L8" s="117"/>
      <c r="M8" s="117"/>
      <c r="N8" s="394"/>
      <c r="O8" s="439"/>
      <c r="P8" s="79"/>
      <c r="Q8" s="79"/>
      <c r="R8" s="79"/>
      <c r="S8" s="393"/>
      <c r="T8" s="79"/>
      <c r="U8" s="79"/>
      <c r="V8" s="117"/>
      <c r="W8" s="117"/>
      <c r="X8" s="117"/>
      <c r="Y8" s="79"/>
      <c r="Z8" s="438"/>
      <c r="AA8" s="117"/>
      <c r="AB8" s="394"/>
      <c r="AC8" s="361"/>
      <c r="AD8" s="81">
        <f t="shared" ref="AD8:AD10" si="0">SUM(C8:AC8)</f>
        <v>0</v>
      </c>
      <c r="AE8" s="73"/>
      <c r="AF8" s="465">
        <f>'Title III-E'!AE8+'III-E Grandparents'!AD8</f>
        <v>0</v>
      </c>
    </row>
    <row r="9" spans="1:32" s="1" customFormat="1" x14ac:dyDescent="0.2">
      <c r="A9" s="255"/>
      <c r="B9" s="74" t="s">
        <v>191</v>
      </c>
      <c r="C9" s="396"/>
      <c r="D9" s="438"/>
      <c r="E9" s="396"/>
      <c r="F9" s="396"/>
      <c r="G9" s="439"/>
      <c r="H9" s="396"/>
      <c r="I9" s="396"/>
      <c r="J9" s="393"/>
      <c r="K9" s="117"/>
      <c r="L9" s="117"/>
      <c r="M9" s="117"/>
      <c r="N9" s="394"/>
      <c r="O9" s="439"/>
      <c r="P9" s="79"/>
      <c r="Q9" s="79"/>
      <c r="R9" s="79"/>
      <c r="S9" s="393"/>
      <c r="T9" s="79"/>
      <c r="U9" s="79"/>
      <c r="V9" s="117"/>
      <c r="W9" s="117"/>
      <c r="X9" s="117"/>
      <c r="Y9" s="79"/>
      <c r="Z9" s="438"/>
      <c r="AA9" s="117"/>
      <c r="AB9" s="394"/>
      <c r="AC9" s="361"/>
      <c r="AD9" s="81">
        <f t="shared" si="0"/>
        <v>0</v>
      </c>
      <c r="AE9" s="73"/>
      <c r="AF9" s="465">
        <f>'Title III-E'!AE9+'III-E Grandparents'!AD9</f>
        <v>8000</v>
      </c>
    </row>
    <row r="10" spans="1:32" s="1" customFormat="1" x14ac:dyDescent="0.2">
      <c r="A10" s="255"/>
      <c r="B10" s="74" t="s">
        <v>192</v>
      </c>
      <c r="C10" s="80"/>
      <c r="D10" s="302"/>
      <c r="E10" s="80"/>
      <c r="F10" s="80"/>
      <c r="G10" s="348"/>
      <c r="H10" s="80"/>
      <c r="I10" s="396"/>
      <c r="J10" s="393"/>
      <c r="K10" s="117"/>
      <c r="L10" s="117"/>
      <c r="M10" s="117"/>
      <c r="N10" s="394"/>
      <c r="O10" s="439"/>
      <c r="P10" s="79"/>
      <c r="Q10" s="79"/>
      <c r="R10" s="79"/>
      <c r="S10" s="393"/>
      <c r="T10" s="76"/>
      <c r="U10" s="76"/>
      <c r="V10" s="117"/>
      <c r="W10" s="117"/>
      <c r="X10" s="117"/>
      <c r="Y10" s="79"/>
      <c r="Z10" s="438"/>
      <c r="AA10" s="78"/>
      <c r="AB10" s="394"/>
      <c r="AC10" s="361"/>
      <c r="AD10" s="81">
        <f t="shared" si="0"/>
        <v>0</v>
      </c>
      <c r="AE10" s="73"/>
      <c r="AF10" s="465">
        <f>'Title III-E'!AE10+'III-E Grandparents'!AD10</f>
        <v>0</v>
      </c>
    </row>
    <row r="11" spans="1:32" s="1" customFormat="1" x14ac:dyDescent="0.2">
      <c r="A11" s="3" t="s">
        <v>193</v>
      </c>
      <c r="B11" s="74"/>
      <c r="C11" s="391"/>
      <c r="D11" s="436"/>
      <c r="E11" s="391"/>
      <c r="F11" s="391"/>
      <c r="G11" s="441"/>
      <c r="H11" s="391"/>
      <c r="I11" s="391"/>
      <c r="J11" s="388"/>
      <c r="K11" s="389"/>
      <c r="L11" s="389"/>
      <c r="M11" s="389"/>
      <c r="N11" s="118"/>
      <c r="O11" s="441"/>
      <c r="P11" s="387"/>
      <c r="Q11" s="387"/>
      <c r="R11" s="387"/>
      <c r="S11" s="388"/>
      <c r="T11" s="387"/>
      <c r="U11" s="387"/>
      <c r="V11" s="389"/>
      <c r="W11" s="389"/>
      <c r="X11" s="389"/>
      <c r="Y11" s="387"/>
      <c r="Z11" s="436"/>
      <c r="AA11" s="389"/>
      <c r="AB11" s="118"/>
      <c r="AC11" s="359"/>
      <c r="AD11" s="392"/>
      <c r="AE11" s="73"/>
      <c r="AF11" s="462"/>
    </row>
    <row r="12" spans="1:32" s="1" customFormat="1" x14ac:dyDescent="0.2">
      <c r="A12" s="255"/>
      <c r="B12" s="74" t="s">
        <v>195</v>
      </c>
      <c r="C12" s="396"/>
      <c r="D12" s="438"/>
      <c r="E12" s="396"/>
      <c r="F12" s="396"/>
      <c r="G12" s="439"/>
      <c r="H12" s="396"/>
      <c r="I12" s="396"/>
      <c r="J12" s="393"/>
      <c r="K12" s="117"/>
      <c r="L12" s="117"/>
      <c r="M12" s="117"/>
      <c r="N12" s="394"/>
      <c r="O12" s="439"/>
      <c r="P12" s="79"/>
      <c r="Q12" s="79"/>
      <c r="R12" s="79"/>
      <c r="S12" s="393"/>
      <c r="T12" s="79"/>
      <c r="U12" s="79"/>
      <c r="V12" s="117"/>
      <c r="W12" s="117"/>
      <c r="X12" s="117"/>
      <c r="Y12" s="79"/>
      <c r="Z12" s="438"/>
      <c r="AA12" s="117"/>
      <c r="AB12" s="394"/>
      <c r="AC12" s="361"/>
      <c r="AD12" s="81">
        <f t="shared" ref="AD12:AD13" si="1">SUM(C12:AC12)</f>
        <v>0</v>
      </c>
      <c r="AE12" s="73"/>
      <c r="AF12" s="465">
        <f>'Title III-E'!AE12+'III-E Grandparents'!AD12</f>
        <v>0</v>
      </c>
    </row>
    <row r="13" spans="1:32" s="1" customFormat="1" x14ac:dyDescent="0.2">
      <c r="A13" s="255"/>
      <c r="B13" s="74" t="s">
        <v>9</v>
      </c>
      <c r="C13" s="80"/>
      <c r="D13" s="302"/>
      <c r="E13" s="80"/>
      <c r="F13" s="80"/>
      <c r="G13" s="348"/>
      <c r="H13" s="80"/>
      <c r="I13" s="80"/>
      <c r="J13" s="84"/>
      <c r="K13" s="78"/>
      <c r="L13" s="78"/>
      <c r="M13" s="78"/>
      <c r="N13" s="77"/>
      <c r="O13" s="348"/>
      <c r="P13" s="76"/>
      <c r="Q13" s="76"/>
      <c r="R13" s="76"/>
      <c r="S13" s="84"/>
      <c r="T13" s="79"/>
      <c r="U13" s="79"/>
      <c r="V13" s="78"/>
      <c r="W13" s="78"/>
      <c r="X13" s="78"/>
      <c r="Y13" s="76"/>
      <c r="Z13" s="302"/>
      <c r="AA13" s="78"/>
      <c r="AB13" s="77"/>
      <c r="AC13" s="361"/>
      <c r="AD13" s="81">
        <f t="shared" si="1"/>
        <v>0</v>
      </c>
      <c r="AE13" s="73"/>
      <c r="AF13" s="465">
        <f>'Title III-E'!AE13+'III-E Grandparents'!AD13</f>
        <v>0</v>
      </c>
    </row>
    <row r="14" spans="1:32" s="1" customFormat="1" x14ac:dyDescent="0.2">
      <c r="A14" s="3" t="s">
        <v>196</v>
      </c>
      <c r="B14" s="74"/>
      <c r="C14" s="391"/>
      <c r="D14" s="436"/>
      <c r="E14" s="391"/>
      <c r="F14" s="391"/>
      <c r="G14" s="441"/>
      <c r="H14" s="391"/>
      <c r="I14" s="391"/>
      <c r="J14" s="388"/>
      <c r="K14" s="389"/>
      <c r="L14" s="389"/>
      <c r="M14" s="389"/>
      <c r="N14" s="118"/>
      <c r="O14" s="441"/>
      <c r="P14" s="387"/>
      <c r="Q14" s="387"/>
      <c r="R14" s="387"/>
      <c r="S14" s="388"/>
      <c r="T14" s="387"/>
      <c r="U14" s="387"/>
      <c r="V14" s="389"/>
      <c r="W14" s="389"/>
      <c r="X14" s="389"/>
      <c r="Y14" s="387"/>
      <c r="Z14" s="436"/>
      <c r="AA14" s="389"/>
      <c r="AB14" s="118"/>
      <c r="AC14" s="359"/>
      <c r="AD14" s="392"/>
      <c r="AE14" s="73"/>
      <c r="AF14" s="462"/>
    </row>
    <row r="15" spans="1:32" s="1" customFormat="1" x14ac:dyDescent="0.2">
      <c r="A15" s="255"/>
      <c r="B15" s="74" t="s">
        <v>17</v>
      </c>
      <c r="C15" s="324"/>
      <c r="D15" s="228"/>
      <c r="E15" s="324"/>
      <c r="F15" s="324"/>
      <c r="G15" s="227"/>
      <c r="H15" s="396"/>
      <c r="I15" s="324"/>
      <c r="J15" s="406"/>
      <c r="K15" s="405"/>
      <c r="L15" s="405"/>
      <c r="M15" s="405"/>
      <c r="N15" s="408"/>
      <c r="O15" s="439"/>
      <c r="P15" s="79"/>
      <c r="Q15" s="79"/>
      <c r="R15" s="79"/>
      <c r="S15" s="393"/>
      <c r="T15" s="226"/>
      <c r="U15" s="226"/>
      <c r="V15" s="405"/>
      <c r="W15" s="405"/>
      <c r="X15" s="117"/>
      <c r="Y15" s="226"/>
      <c r="Z15" s="228"/>
      <c r="AA15" s="405"/>
      <c r="AB15" s="408"/>
      <c r="AC15" s="361"/>
      <c r="AD15" s="81">
        <f t="shared" ref="AD15:AD20" si="2">SUM(C15:AC15)</f>
        <v>0</v>
      </c>
      <c r="AE15" s="73"/>
      <c r="AF15" s="465">
        <f>'Title III-E'!AE15+'III-E Grandparents'!AD15</f>
        <v>50000</v>
      </c>
    </row>
    <row r="16" spans="1:32" s="1" customFormat="1" x14ac:dyDescent="0.2">
      <c r="A16" s="255"/>
      <c r="B16" s="74" t="s">
        <v>18</v>
      </c>
      <c r="C16" s="80"/>
      <c r="D16" s="302"/>
      <c r="E16" s="80"/>
      <c r="F16" s="80"/>
      <c r="G16" s="348"/>
      <c r="H16" s="80"/>
      <c r="I16" s="396"/>
      <c r="J16" s="393"/>
      <c r="K16" s="117"/>
      <c r="L16" s="117"/>
      <c r="M16" s="117"/>
      <c r="N16" s="394"/>
      <c r="O16" s="439"/>
      <c r="P16" s="79"/>
      <c r="Q16" s="79"/>
      <c r="R16" s="79"/>
      <c r="S16" s="393"/>
      <c r="T16" s="76"/>
      <c r="U16" s="76"/>
      <c r="V16" s="117"/>
      <c r="W16" s="117"/>
      <c r="X16" s="117"/>
      <c r="Y16" s="76"/>
      <c r="Z16" s="302"/>
      <c r="AA16" s="78"/>
      <c r="AB16" s="77"/>
      <c r="AC16" s="361"/>
      <c r="AD16" s="81">
        <f t="shared" si="2"/>
        <v>0</v>
      </c>
      <c r="AE16" s="73"/>
      <c r="AF16" s="465">
        <f>'Title III-E'!AE16+'III-E Grandparents'!AD16</f>
        <v>25000</v>
      </c>
    </row>
    <row r="17" spans="1:32" s="1" customFormat="1" x14ac:dyDescent="0.2">
      <c r="A17" s="255"/>
      <c r="B17" s="74" t="s">
        <v>19</v>
      </c>
      <c r="C17" s="80"/>
      <c r="D17" s="302"/>
      <c r="E17" s="80"/>
      <c r="F17" s="80"/>
      <c r="G17" s="348"/>
      <c r="H17" s="80"/>
      <c r="I17" s="80"/>
      <c r="J17" s="84"/>
      <c r="K17" s="78"/>
      <c r="L17" s="78"/>
      <c r="M17" s="78"/>
      <c r="N17" s="77"/>
      <c r="O17" s="348"/>
      <c r="P17" s="76"/>
      <c r="Q17" s="76"/>
      <c r="R17" s="76"/>
      <c r="S17" s="84"/>
      <c r="T17" s="76"/>
      <c r="U17" s="76"/>
      <c r="V17" s="78"/>
      <c r="W17" s="78"/>
      <c r="X17" s="78"/>
      <c r="Y17" s="79"/>
      <c r="Z17" s="438"/>
      <c r="AA17" s="78"/>
      <c r="AB17" s="77"/>
      <c r="AC17" s="361"/>
      <c r="AD17" s="81">
        <f t="shared" si="2"/>
        <v>0</v>
      </c>
      <c r="AE17" s="73"/>
      <c r="AF17" s="465">
        <f>'Title III-E'!AE17+'III-E Grandparents'!AD17</f>
        <v>0</v>
      </c>
    </row>
    <row r="18" spans="1:32" s="1" customFormat="1" x14ac:dyDescent="0.2">
      <c r="A18" s="255"/>
      <c r="B18" s="74" t="s">
        <v>20</v>
      </c>
      <c r="C18" s="80"/>
      <c r="D18" s="302"/>
      <c r="E18" s="80"/>
      <c r="F18" s="80"/>
      <c r="G18" s="348"/>
      <c r="H18" s="80"/>
      <c r="I18" s="80"/>
      <c r="J18" s="84"/>
      <c r="K18" s="78"/>
      <c r="L18" s="78"/>
      <c r="M18" s="78"/>
      <c r="N18" s="77"/>
      <c r="O18" s="348"/>
      <c r="P18" s="76"/>
      <c r="Q18" s="76"/>
      <c r="R18" s="76"/>
      <c r="S18" s="84"/>
      <c r="T18" s="76"/>
      <c r="U18" s="79"/>
      <c r="V18" s="78"/>
      <c r="W18" s="78"/>
      <c r="X18" s="78"/>
      <c r="Y18" s="76"/>
      <c r="Z18" s="302"/>
      <c r="AA18" s="78"/>
      <c r="AB18" s="77"/>
      <c r="AC18" s="361"/>
      <c r="AD18" s="81">
        <f t="shared" si="2"/>
        <v>0</v>
      </c>
      <c r="AE18" s="73"/>
      <c r="AF18" s="465">
        <f>'Title III-E'!AE18+'III-E Grandparents'!AD18</f>
        <v>14520</v>
      </c>
    </row>
    <row r="19" spans="1:32" s="73" customFormat="1" x14ac:dyDescent="0.2">
      <c r="A19" s="255"/>
      <c r="B19" s="104" t="s">
        <v>21</v>
      </c>
      <c r="C19" s="80"/>
      <c r="D19" s="302"/>
      <c r="E19" s="80"/>
      <c r="F19" s="80"/>
      <c r="G19" s="75"/>
      <c r="H19" s="80"/>
      <c r="I19" s="80"/>
      <c r="J19" s="302"/>
      <c r="K19" s="78"/>
      <c r="L19" s="78"/>
      <c r="M19" s="78"/>
      <c r="N19" s="77"/>
      <c r="O19" s="348"/>
      <c r="P19" s="76"/>
      <c r="Q19" s="76"/>
      <c r="R19" s="76"/>
      <c r="S19" s="84"/>
      <c r="T19" s="79"/>
      <c r="U19" s="79"/>
      <c r="V19" s="78"/>
      <c r="W19" s="78"/>
      <c r="X19" s="78"/>
      <c r="Y19" s="76"/>
      <c r="Z19" s="76"/>
      <c r="AA19" s="76"/>
      <c r="AB19" s="77"/>
      <c r="AC19" s="361"/>
      <c r="AD19" s="81">
        <f t="shared" si="2"/>
        <v>0</v>
      </c>
      <c r="AE19" s="86">
        <f>SUM(C19:AD19)</f>
        <v>0</v>
      </c>
      <c r="AF19" s="465">
        <f>'Title III-E'!AE19+'III-E Grandparents'!AD19</f>
        <v>0</v>
      </c>
    </row>
    <row r="20" spans="1:32" s="73" customFormat="1" ht="13.5" thickBot="1" x14ac:dyDescent="0.25">
      <c r="A20" s="587" t="s">
        <v>198</v>
      </c>
      <c r="B20" s="568"/>
      <c r="C20" s="338"/>
      <c r="D20" s="466"/>
      <c r="E20" s="338"/>
      <c r="F20" s="338"/>
      <c r="G20" s="467"/>
      <c r="H20" s="468"/>
      <c r="I20" s="338"/>
      <c r="J20" s="466"/>
      <c r="K20" s="229"/>
      <c r="L20" s="229"/>
      <c r="M20" s="229"/>
      <c r="N20" s="230"/>
      <c r="O20" s="227"/>
      <c r="P20" s="226"/>
      <c r="Q20" s="226"/>
      <c r="R20" s="226"/>
      <c r="S20" s="406"/>
      <c r="T20" s="229"/>
      <c r="U20" s="229" t="s">
        <v>199</v>
      </c>
      <c r="V20" s="229"/>
      <c r="W20" s="229"/>
      <c r="X20" s="226"/>
      <c r="Y20" s="229"/>
      <c r="Z20" s="230"/>
      <c r="AA20" s="229"/>
      <c r="AB20" s="230" t="s">
        <v>199</v>
      </c>
      <c r="AC20" s="364"/>
      <c r="AD20" s="224">
        <f t="shared" si="2"/>
        <v>0</v>
      </c>
      <c r="AE20" s="82"/>
      <c r="AF20" s="469">
        <f>'Title III-E'!AE20+'III-E Grandparents'!AD20</f>
        <v>0</v>
      </c>
    </row>
    <row r="21" spans="1:32" s="1" customFormat="1" ht="26.25" customHeight="1" thickBot="1" x14ac:dyDescent="0.25">
      <c r="A21" s="564" t="s">
        <v>201</v>
      </c>
      <c r="B21" s="590"/>
      <c r="C21" s="276">
        <f>SUM(C6:C20)</f>
        <v>0</v>
      </c>
      <c r="D21" s="443">
        <f t="shared" ref="D21:AC21" si="3">SUM(D6:D20)</f>
        <v>0</v>
      </c>
      <c r="E21" s="276">
        <f t="shared" si="3"/>
        <v>0</v>
      </c>
      <c r="F21" s="276">
        <f t="shared" ref="F21:G21" si="4">SUM(F6:F20)</f>
        <v>0</v>
      </c>
      <c r="G21" s="409">
        <f t="shared" si="4"/>
        <v>0</v>
      </c>
      <c r="H21" s="276">
        <f t="shared" ref="H21:I21" si="5">SUM(H6:H20)</f>
        <v>0</v>
      </c>
      <c r="I21" s="276">
        <f t="shared" si="5"/>
        <v>0</v>
      </c>
      <c r="J21" s="411">
        <f t="shared" si="3"/>
        <v>0</v>
      </c>
      <c r="K21" s="470">
        <f t="shared" si="3"/>
        <v>0</v>
      </c>
      <c r="L21" s="470">
        <f t="shared" si="3"/>
        <v>0</v>
      </c>
      <c r="M21" s="410">
        <f t="shared" si="3"/>
        <v>0</v>
      </c>
      <c r="N21" s="413">
        <f t="shared" si="3"/>
        <v>0</v>
      </c>
      <c r="O21" s="275">
        <f t="shared" ref="O21:S21" si="6">SUM(O6:O20)</f>
        <v>0</v>
      </c>
      <c r="P21" s="410">
        <f t="shared" si="6"/>
        <v>0</v>
      </c>
      <c r="Q21" s="410">
        <f t="shared" si="6"/>
        <v>0</v>
      </c>
      <c r="R21" s="410">
        <f t="shared" si="6"/>
        <v>0</v>
      </c>
      <c r="S21" s="411">
        <f t="shared" si="6"/>
        <v>0</v>
      </c>
      <c r="T21" s="470">
        <f t="shared" si="3"/>
        <v>0</v>
      </c>
      <c r="U21" s="470">
        <f t="shared" si="3"/>
        <v>0</v>
      </c>
      <c r="V21" s="470">
        <f t="shared" ref="V21:Z21" si="7">SUM(V6:V20)</f>
        <v>0</v>
      </c>
      <c r="W21" s="470">
        <f t="shared" si="7"/>
        <v>0</v>
      </c>
      <c r="X21" s="410">
        <f>SUM(X6:X20)</f>
        <v>0</v>
      </c>
      <c r="Y21" s="470">
        <f t="shared" si="7"/>
        <v>0</v>
      </c>
      <c r="Z21" s="470">
        <f t="shared" si="7"/>
        <v>0</v>
      </c>
      <c r="AA21" s="471">
        <f t="shared" si="3"/>
        <v>0</v>
      </c>
      <c r="AB21" s="472">
        <f t="shared" si="3"/>
        <v>0</v>
      </c>
      <c r="AC21" s="472">
        <f t="shared" si="3"/>
        <v>0</v>
      </c>
      <c r="AD21" s="416">
        <f>SUM(AD6:AD20)</f>
        <v>0</v>
      </c>
      <c r="AE21" s="73"/>
      <c r="AF21" s="473">
        <f>'Title III-E'!AE21+'III-E Grandparents'!AD21</f>
        <v>287431</v>
      </c>
    </row>
    <row r="22" spans="1:32" s="1" customFormat="1" ht="25.5" customHeight="1" thickBot="1" x14ac:dyDescent="0.25">
      <c r="A22" s="588" t="s">
        <v>202</v>
      </c>
      <c r="B22" s="589"/>
      <c r="C22" s="444"/>
      <c r="D22" s="339"/>
      <c r="E22" s="444"/>
      <c r="F22" s="269"/>
      <c r="G22" s="428"/>
      <c r="H22" s="446"/>
      <c r="I22" s="269"/>
      <c r="J22" s="430"/>
      <c r="K22" s="474"/>
      <c r="L22" s="474"/>
      <c r="M22" s="429"/>
      <c r="N22" s="431"/>
      <c r="O22" s="450"/>
      <c r="P22" s="448"/>
      <c r="Q22" s="448"/>
      <c r="R22" s="448"/>
      <c r="S22" s="447"/>
      <c r="T22" s="474"/>
      <c r="U22" s="474"/>
      <c r="V22" s="474"/>
      <c r="W22" s="474"/>
      <c r="X22" s="448"/>
      <c r="Y22" s="475"/>
      <c r="Z22" s="474"/>
      <c r="AA22" s="476"/>
      <c r="AB22" s="477"/>
      <c r="AC22" s="364"/>
      <c r="AD22" s="478">
        <f>SUM(C22:AC22)</f>
        <v>0</v>
      </c>
      <c r="AE22" s="73"/>
      <c r="AF22" s="479">
        <f>'Title III-E'!AE22+'III-E Grandparents'!AD22</f>
        <v>0</v>
      </c>
    </row>
    <row r="23" spans="1:32" s="1" customFormat="1" ht="12.75" customHeight="1" x14ac:dyDescent="0.2">
      <c r="A23" s="37" t="s">
        <v>203</v>
      </c>
      <c r="B23" s="73"/>
      <c r="C23" s="594"/>
      <c r="D23" s="598"/>
      <c r="E23" s="594"/>
      <c r="F23" s="594"/>
      <c r="G23" s="618"/>
      <c r="H23" s="592"/>
      <c r="I23" s="594"/>
      <c r="J23" s="584"/>
      <c r="K23" s="516"/>
      <c r="L23" s="516"/>
      <c r="M23" s="582"/>
      <c r="N23" s="621"/>
      <c r="O23" s="606"/>
      <c r="P23" s="582"/>
      <c r="Q23" s="582"/>
      <c r="R23" s="582"/>
      <c r="S23" s="584"/>
      <c r="T23" s="516"/>
      <c r="U23" s="516"/>
      <c r="V23" s="516"/>
      <c r="W23" s="516"/>
      <c r="X23" s="582"/>
      <c r="Y23" s="516"/>
      <c r="Z23" s="517"/>
      <c r="AA23" s="517"/>
      <c r="AB23" s="616"/>
      <c r="AC23" s="619"/>
      <c r="AD23" s="432"/>
      <c r="AE23" s="73"/>
      <c r="AF23" s="73"/>
    </row>
    <row r="24" spans="1:32" s="1" customFormat="1" ht="12.75" customHeight="1" x14ac:dyDescent="0.2">
      <c r="A24" s="548" t="s">
        <v>244</v>
      </c>
      <c r="B24" s="600"/>
      <c r="C24" s="523"/>
      <c r="D24" s="599"/>
      <c r="E24" s="523"/>
      <c r="F24" s="523"/>
      <c r="G24" s="513"/>
      <c r="H24" s="593"/>
      <c r="I24" s="523"/>
      <c r="J24" s="506"/>
      <c r="K24" s="517"/>
      <c r="L24" s="517"/>
      <c r="M24" s="517"/>
      <c r="N24" s="545"/>
      <c r="O24" s="607"/>
      <c r="P24" s="517"/>
      <c r="Q24" s="517"/>
      <c r="R24" s="517"/>
      <c r="S24" s="506"/>
      <c r="T24" s="517"/>
      <c r="U24" s="517"/>
      <c r="V24" s="517"/>
      <c r="W24" s="517"/>
      <c r="X24" s="517"/>
      <c r="Y24" s="517"/>
      <c r="Z24" s="617"/>
      <c r="AA24" s="617"/>
      <c r="AB24" s="545"/>
      <c r="AC24" s="620"/>
      <c r="AD24" s="433"/>
      <c r="AE24" s="73"/>
      <c r="AF24" s="73"/>
    </row>
    <row r="25" spans="1:32" s="4" customFormat="1" ht="18" customHeight="1" x14ac:dyDescent="0.2">
      <c r="A25" s="596" t="s">
        <v>205</v>
      </c>
      <c r="B25" s="597"/>
      <c r="C25" s="323" t="s">
        <v>206</v>
      </c>
      <c r="D25" s="323" t="s">
        <v>214</v>
      </c>
      <c r="E25" s="323" t="s">
        <v>206</v>
      </c>
      <c r="F25" s="322" t="s">
        <v>208</v>
      </c>
      <c r="G25" s="71" t="s">
        <v>207</v>
      </c>
      <c r="H25" s="319" t="s">
        <v>217</v>
      </c>
      <c r="I25" s="322" t="s">
        <v>245</v>
      </c>
      <c r="J25" s="298" t="s">
        <v>208</v>
      </c>
      <c r="K25" s="38" t="s">
        <v>208</v>
      </c>
      <c r="L25" s="38" t="s">
        <v>208</v>
      </c>
      <c r="M25" s="38" t="s">
        <v>208</v>
      </c>
      <c r="N25" s="57" t="s">
        <v>246</v>
      </c>
      <c r="O25" s="39" t="s">
        <v>215</v>
      </c>
      <c r="P25" s="38" t="s">
        <v>216</v>
      </c>
      <c r="Q25" s="38" t="s">
        <v>208</v>
      </c>
      <c r="R25" s="38" t="s">
        <v>216</v>
      </c>
      <c r="S25" s="298" t="s">
        <v>208</v>
      </c>
      <c r="T25" s="38" t="s">
        <v>211</v>
      </c>
      <c r="U25" s="38" t="s">
        <v>212</v>
      </c>
      <c r="V25" s="38" t="s">
        <v>208</v>
      </c>
      <c r="W25" s="38" t="s">
        <v>208</v>
      </c>
      <c r="X25" s="38" t="s">
        <v>218</v>
      </c>
      <c r="Y25" s="38" t="s">
        <v>210</v>
      </c>
      <c r="Z25" s="300" t="s">
        <v>210</v>
      </c>
      <c r="AA25" s="44" t="s">
        <v>247</v>
      </c>
      <c r="AB25" s="57" t="s">
        <v>246</v>
      </c>
      <c r="AC25" s="322" t="s">
        <v>219</v>
      </c>
      <c r="AD25" s="434"/>
    </row>
    <row r="26" spans="1:32" ht="18" customHeight="1" x14ac:dyDescent="0.2">
      <c r="A26" s="74" t="s">
        <v>220</v>
      </c>
      <c r="B26" s="40"/>
      <c r="C26" s="45" t="str">
        <f t="shared" ref="C26:S26" si="8">IF(C23=0," ",C21/C23)</f>
        <v xml:space="preserve"> </v>
      </c>
      <c r="D26" s="61" t="str">
        <f t="shared" si="8"/>
        <v xml:space="preserve"> </v>
      </c>
      <c r="E26" s="45" t="str">
        <f t="shared" si="8"/>
        <v xml:space="preserve"> </v>
      </c>
      <c r="F26" s="45" t="str">
        <f t="shared" si="8"/>
        <v xml:space="preserve"> </v>
      </c>
      <c r="G26" s="14" t="str">
        <f t="shared" si="8"/>
        <v xml:space="preserve"> </v>
      </c>
      <c r="H26" s="45" t="str">
        <f t="shared" ref="H26" si="9">IF(H23=0," ",H21/H23)</f>
        <v xml:space="preserve"> </v>
      </c>
      <c r="I26" s="45" t="str">
        <f t="shared" si="8"/>
        <v xml:space="preserve"> </v>
      </c>
      <c r="J26" s="12" t="str">
        <f t="shared" si="8"/>
        <v xml:space="preserve"> </v>
      </c>
      <c r="K26" s="10" t="str">
        <f t="shared" si="8"/>
        <v xml:space="preserve"> </v>
      </c>
      <c r="L26" s="10" t="str">
        <f t="shared" si="8"/>
        <v xml:space="preserve"> </v>
      </c>
      <c r="M26" s="10" t="str">
        <f t="shared" si="8"/>
        <v xml:space="preserve"> </v>
      </c>
      <c r="N26" s="13" t="str">
        <f t="shared" si="8"/>
        <v xml:space="preserve"> </v>
      </c>
      <c r="O26" s="349" t="str">
        <f t="shared" si="8"/>
        <v xml:space="preserve"> </v>
      </c>
      <c r="P26" s="10" t="str">
        <f t="shared" si="8"/>
        <v xml:space="preserve"> </v>
      </c>
      <c r="Q26" s="10" t="str">
        <f t="shared" si="8"/>
        <v xml:space="preserve"> </v>
      </c>
      <c r="R26" s="10" t="str">
        <f t="shared" si="8"/>
        <v xml:space="preserve"> </v>
      </c>
      <c r="S26" s="12" t="str">
        <f t="shared" si="8"/>
        <v xml:space="preserve"> </v>
      </c>
      <c r="T26" s="10" t="str">
        <f t="shared" ref="T26:AC26" si="10">IF(T23=0," ",T21/T23)</f>
        <v xml:space="preserve"> </v>
      </c>
      <c r="U26" s="10" t="str">
        <f t="shared" si="10"/>
        <v xml:space="preserve"> </v>
      </c>
      <c r="V26" s="10" t="str">
        <f t="shared" si="10"/>
        <v xml:space="preserve"> </v>
      </c>
      <c r="W26" s="10" t="str">
        <f t="shared" si="10"/>
        <v xml:space="preserve"> </v>
      </c>
      <c r="X26" s="10" t="str">
        <f t="shared" si="10"/>
        <v xml:space="preserve"> </v>
      </c>
      <c r="Y26" s="10" t="str">
        <f t="shared" ref="Y26:Z26" si="11">IF(Y23=0," ",Y21/Y23)</f>
        <v xml:space="preserve"> </v>
      </c>
      <c r="Z26" s="10" t="str">
        <f t="shared" si="11"/>
        <v xml:space="preserve"> </v>
      </c>
      <c r="AA26" s="58" t="str">
        <f>IF(AA23=0," ",AA21/AA23)</f>
        <v xml:space="preserve"> </v>
      </c>
      <c r="AB26" s="13" t="str">
        <f t="shared" si="10"/>
        <v xml:space="preserve"> </v>
      </c>
      <c r="AC26" s="45" t="str">
        <f t="shared" si="10"/>
        <v xml:space="preserve"> </v>
      </c>
      <c r="AD26" s="26"/>
    </row>
    <row r="27" spans="1:32" ht="18" customHeight="1" x14ac:dyDescent="0.2">
      <c r="A27" s="104" t="s">
        <v>248</v>
      </c>
      <c r="B27" s="42"/>
      <c r="C27" s="338"/>
      <c r="D27" s="314"/>
      <c r="E27" s="315"/>
      <c r="F27" s="311"/>
      <c r="G27" s="110"/>
      <c r="H27" s="341" t="s">
        <v>249</v>
      </c>
      <c r="I27" s="311"/>
      <c r="J27" s="303"/>
      <c r="K27" s="107"/>
      <c r="L27" s="107"/>
      <c r="M27" s="107"/>
      <c r="N27" s="108"/>
      <c r="O27" s="110"/>
      <c r="P27" s="109"/>
      <c r="Q27" s="109"/>
      <c r="R27" s="109"/>
      <c r="S27" s="303"/>
      <c r="T27" s="109"/>
      <c r="U27" s="109"/>
      <c r="V27" s="107"/>
      <c r="W27" s="107"/>
      <c r="X27" s="107"/>
      <c r="Y27" s="109"/>
      <c r="Z27" s="111"/>
      <c r="AA27" s="107"/>
      <c r="AB27" s="108"/>
      <c r="AC27" s="311"/>
      <c r="AD27" s="112"/>
    </row>
    <row r="28" spans="1:32" ht="18" customHeight="1" x14ac:dyDescent="0.2">
      <c r="A28" s="74" t="s">
        <v>250</v>
      </c>
      <c r="B28" s="40"/>
      <c r="C28" s="312"/>
      <c r="D28" s="135"/>
      <c r="E28" s="312"/>
      <c r="F28" s="312"/>
      <c r="G28" s="134"/>
      <c r="H28" s="312"/>
      <c r="I28" s="312"/>
      <c r="J28" s="304"/>
      <c r="K28" s="132"/>
      <c r="L28" s="132"/>
      <c r="M28" s="113"/>
      <c r="N28" s="129"/>
      <c r="O28" s="134"/>
      <c r="P28" s="128"/>
      <c r="Q28" s="128"/>
      <c r="R28" s="128"/>
      <c r="S28" s="347"/>
      <c r="T28" s="128"/>
      <c r="U28" s="128"/>
      <c r="V28" s="132"/>
      <c r="W28" s="132"/>
      <c r="X28" s="132"/>
      <c r="Y28" s="128"/>
      <c r="Z28" s="135"/>
      <c r="AA28" s="132"/>
      <c r="AB28" s="129"/>
      <c r="AC28" s="312"/>
      <c r="AD28" s="114"/>
    </row>
    <row r="29" spans="1:32" ht="18" customHeight="1" thickBot="1" x14ac:dyDescent="0.25">
      <c r="A29" s="105" t="s">
        <v>251</v>
      </c>
      <c r="C29" s="313"/>
      <c r="D29" s="131"/>
      <c r="E29" s="313"/>
      <c r="F29" s="313"/>
      <c r="G29" s="138"/>
      <c r="H29" s="321"/>
      <c r="I29" s="313"/>
      <c r="J29" s="305"/>
      <c r="K29" s="133"/>
      <c r="L29" s="133"/>
      <c r="M29" s="133"/>
      <c r="N29" s="136"/>
      <c r="O29" s="350"/>
      <c r="P29" s="351"/>
      <c r="Q29" s="351"/>
      <c r="R29" s="351"/>
      <c r="S29" s="352"/>
      <c r="T29" s="130"/>
      <c r="U29" s="130"/>
      <c r="V29" s="133"/>
      <c r="W29" s="133"/>
      <c r="X29" s="133"/>
      <c r="Y29" s="130"/>
      <c r="Z29" s="131"/>
      <c r="AA29" s="137"/>
      <c r="AB29" s="136"/>
      <c r="AC29" s="313"/>
      <c r="AD29" s="115"/>
    </row>
    <row r="30" spans="1:32" x14ac:dyDescent="0.2">
      <c r="A30" s="595"/>
      <c r="B30" s="595"/>
      <c r="C30" s="102"/>
      <c r="D30" s="102"/>
      <c r="E30" s="102"/>
      <c r="F30" s="103"/>
      <c r="G30" s="103"/>
      <c r="H30" s="103"/>
      <c r="I30" s="103"/>
      <c r="J30" s="102"/>
      <c r="K30" s="102"/>
      <c r="L30" s="102"/>
      <c r="M30" s="102"/>
      <c r="N30" s="102"/>
      <c r="O30" s="102"/>
      <c r="P30" s="102"/>
      <c r="Q30" s="102"/>
      <c r="R30" s="102"/>
      <c r="S30" s="102"/>
      <c r="T30" s="102"/>
      <c r="U30" s="102"/>
      <c r="V30" s="102"/>
      <c r="W30" s="102"/>
      <c r="X30" s="102"/>
      <c r="Y30" s="102"/>
      <c r="Z30" s="102"/>
      <c r="AA30" s="102"/>
      <c r="AB30" s="102"/>
      <c r="AC30" s="102"/>
      <c r="AD30" s="176"/>
    </row>
    <row r="31" spans="1:32" x14ac:dyDescent="0.2">
      <c r="A31" s="602" t="s">
        <v>222</v>
      </c>
      <c r="B31" s="602"/>
      <c r="C31" s="602"/>
      <c r="D31" s="602"/>
      <c r="E31" s="602"/>
      <c r="F31" s="602"/>
      <c r="G31" s="602"/>
      <c r="H31" s="602"/>
      <c r="I31" s="602"/>
      <c r="J31" s="602"/>
      <c r="K31" s="602"/>
      <c r="L31" s="602"/>
      <c r="M31" s="602"/>
      <c r="N31" s="602"/>
      <c r="O31" s="602"/>
      <c r="P31" s="602"/>
      <c r="Q31" s="602"/>
      <c r="R31" s="602"/>
      <c r="S31" s="602"/>
      <c r="T31" s="602"/>
      <c r="U31" s="602"/>
      <c r="V31" s="602"/>
      <c r="W31" s="602"/>
      <c r="X31" s="602"/>
      <c r="Y31" s="602"/>
      <c r="Z31" s="602"/>
      <c r="AA31" s="602"/>
      <c r="AB31" s="602"/>
      <c r="AC31" s="5"/>
    </row>
    <row r="32" spans="1:32" x14ac:dyDescent="0.2">
      <c r="A32" s="70">
        <f>Summary!A30</f>
        <v>45783</v>
      </c>
      <c r="C32" s="106"/>
      <c r="D32" s="106"/>
      <c r="E32" s="106"/>
      <c r="F32" s="106"/>
      <c r="G32" s="106"/>
      <c r="J32" s="106"/>
      <c r="K32" s="106"/>
      <c r="L32" s="106"/>
      <c r="M32" s="106"/>
      <c r="N32" s="106"/>
      <c r="O32" s="106"/>
      <c r="P32" s="106"/>
      <c r="Q32" s="106"/>
      <c r="R32" s="106"/>
      <c r="S32" s="106"/>
      <c r="T32" s="106"/>
      <c r="U32" s="106"/>
      <c r="V32" s="106"/>
      <c r="W32" s="106"/>
      <c r="X32" s="106"/>
      <c r="Y32" s="106"/>
      <c r="Z32" s="106"/>
      <c r="AA32" s="106"/>
      <c r="AB32" s="106"/>
      <c r="AC32" s="106"/>
    </row>
    <row r="37" spans="13:13" x14ac:dyDescent="0.2">
      <c r="M37" s="106"/>
    </row>
    <row r="45" spans="13:13" ht="14.25" customHeight="1" x14ac:dyDescent="0.2"/>
    <row r="66" spans="1:1" x14ac:dyDescent="0.2">
      <c r="A66" s="11"/>
    </row>
  </sheetData>
  <sheetProtection algorithmName="SHA-512" hashValue="73lXDCtqptMUJjvnSRA2R34b9/c5Bj0WtY82KZTHq145NkarSZN1MtASuBnfYfeY+bZxeq01RfUmVdX1robGBw==" saltValue="NDxk1WdJ9pGcDq3L5gDd6Q==" spinCount="100000" sheet="1" objects="1" scenarios="1"/>
  <mergeCells count="40">
    <mergeCell ref="AC23:AC24"/>
    <mergeCell ref="A20:B20"/>
    <mergeCell ref="A25:B25"/>
    <mergeCell ref="N23:N24"/>
    <mergeCell ref="A4:B4"/>
    <mergeCell ref="K23:K24"/>
    <mergeCell ref="AA23:AA24"/>
    <mergeCell ref="V23:V24"/>
    <mergeCell ref="A3:B3"/>
    <mergeCell ref="A22:B22"/>
    <mergeCell ref="J23:J24"/>
    <mergeCell ref="H23:H24"/>
    <mergeCell ref="A21:B21"/>
    <mergeCell ref="A24:B24"/>
    <mergeCell ref="C23:C24"/>
    <mergeCell ref="D23:D24"/>
    <mergeCell ref="E23:E24"/>
    <mergeCell ref="F23:F24"/>
    <mergeCell ref="G23:G24"/>
    <mergeCell ref="AF3:AF4"/>
    <mergeCell ref="O23:O24"/>
    <mergeCell ref="J3:N3"/>
    <mergeCell ref="O3:AB3"/>
    <mergeCell ref="AD3:AD4"/>
    <mergeCell ref="T23:T24"/>
    <mergeCell ref="AB23:AB24"/>
    <mergeCell ref="R23:R24"/>
    <mergeCell ref="U23:U24"/>
    <mergeCell ref="Z23:Z24"/>
    <mergeCell ref="S23:S24"/>
    <mergeCell ref="X23:X24"/>
    <mergeCell ref="W23:W24"/>
    <mergeCell ref="Y23:Y24"/>
    <mergeCell ref="L23:L24"/>
    <mergeCell ref="P23:P24"/>
    <mergeCell ref="A30:B30"/>
    <mergeCell ref="M23:M24"/>
    <mergeCell ref="A31:AB31"/>
    <mergeCell ref="Q23:Q24"/>
    <mergeCell ref="I23:I24"/>
  </mergeCells>
  <phoneticPr fontId="0" type="noConversion"/>
  <conditionalFormatting sqref="C27 J27 M27:N27 I27:I29 N28 J29 M29:N29">
    <cfRule type="expression" dxfId="10" priority="14">
      <formula>AND(C$21&gt;0,C27=0)</formula>
    </cfRule>
  </conditionalFormatting>
  <conditionalFormatting sqref="C28:E29">
    <cfRule type="expression" dxfId="9" priority="15">
      <formula>AND(C$21&gt;0,C28=0)</formula>
    </cfRule>
  </conditionalFormatting>
  <conditionalFormatting sqref="F27:G29">
    <cfRule type="expression" dxfId="8" priority="11">
      <formula>AND(F$21&gt;0,F27=0)</formula>
    </cfRule>
  </conditionalFormatting>
  <conditionalFormatting sqref="H28">
    <cfRule type="expression" dxfId="7" priority="13">
      <formula>AND(H$21&gt;0,H28=0)</formula>
    </cfRule>
  </conditionalFormatting>
  <conditionalFormatting sqref="K27:L29">
    <cfRule type="expression" dxfId="6" priority="8">
      <formula>AND(K$21&gt;0,K27=0)</formula>
    </cfRule>
  </conditionalFormatting>
  <conditionalFormatting sqref="O27:AC29">
    <cfRule type="expression" dxfId="5" priority="1">
      <formula>AND(O$21&gt;0,O27=0)</formula>
    </cfRule>
  </conditionalFormatting>
  <printOptions headings="1"/>
  <pageMargins left="0.56000000000000005" right="0.38" top="1.02" bottom="0.48" header="0.44" footer="0.5"/>
  <pageSetup scale="88" fitToWidth="0" orientation="landscape" r:id="rId1"/>
  <headerFooter alignWithMargins="0">
    <oddHeader xml:space="preserve">&amp;C&amp;"Arial,Bold"&amp;12Title III - E 
Grandparents and Older Individuals Who Are Relative Caregivers of Children
&amp;"Arial,Regular"&amp;10
</oddHeader>
    <oddFooter xml:space="preserve">&amp;CPage &amp;P of &amp;N&amp;R&amp;6&amp;F &amp;A
Printed &amp;D
</oddFooter>
  </headerFooter>
  <colBreaks count="2" manualBreakCount="2">
    <brk id="8" max="31" man="1"/>
    <brk id="14"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A1:L23"/>
  <sheetViews>
    <sheetView showGridLines="0" showZeros="0" zoomScaleNormal="100" workbookViewId="0">
      <selection activeCell="J17" sqref="J17"/>
    </sheetView>
  </sheetViews>
  <sheetFormatPr defaultRowHeight="12.75" x14ac:dyDescent="0.2"/>
  <cols>
    <col min="1" max="1" width="4.28515625" customWidth="1"/>
    <col min="2" max="2" width="9" customWidth="1"/>
    <col min="3" max="3" width="23.140625" customWidth="1"/>
    <col min="4" max="6" width="15.85546875" customWidth="1"/>
    <col min="7" max="7" width="7.85546875" customWidth="1"/>
    <col min="8" max="11" width="15.85546875" customWidth="1"/>
    <col min="12" max="12" width="4.140625" customWidth="1"/>
  </cols>
  <sheetData>
    <row r="1" spans="1:12" ht="25.5" customHeight="1" x14ac:dyDescent="0.2">
      <c r="B1" s="6" t="s">
        <v>255</v>
      </c>
      <c r="C1" s="487" t="str">
        <f>Summary!B1</f>
        <v>Piedmont Senior Resources Area Agency on Aging, Inc.</v>
      </c>
      <c r="D1" s="622"/>
      <c r="E1" s="622"/>
      <c r="F1" s="622"/>
      <c r="G1" s="622"/>
      <c r="H1" s="622"/>
      <c r="I1" s="622"/>
      <c r="J1" s="5"/>
    </row>
    <row r="2" spans="1:12" ht="25.5" customHeight="1" thickBot="1" x14ac:dyDescent="0.25">
      <c r="B2" s="6"/>
      <c r="C2" s="20"/>
      <c r="D2" s="5"/>
      <c r="E2" s="5"/>
      <c r="F2" s="5"/>
      <c r="G2" s="5"/>
      <c r="H2" s="5"/>
      <c r="I2" s="5"/>
      <c r="J2" s="5"/>
    </row>
    <row r="3" spans="1:12" x14ac:dyDescent="0.2">
      <c r="A3" s="177"/>
      <c r="B3" s="480"/>
      <c r="C3" s="179"/>
      <c r="D3" s="180"/>
      <c r="E3" s="180"/>
      <c r="F3" s="180"/>
      <c r="G3" s="180"/>
      <c r="H3" s="180"/>
      <c r="I3" s="180"/>
      <c r="J3" s="180"/>
      <c r="K3" s="62"/>
      <c r="L3" s="63"/>
    </row>
    <row r="4" spans="1:12" ht="15" customHeight="1" x14ac:dyDescent="0.25">
      <c r="A4" s="65"/>
      <c r="B4" s="181" t="s">
        <v>256</v>
      </c>
      <c r="L4" s="64"/>
    </row>
    <row r="5" spans="1:12" ht="15" customHeight="1" x14ac:dyDescent="0.2">
      <c r="A5" s="65"/>
      <c r="B5" s="6" t="s">
        <v>113</v>
      </c>
      <c r="H5" s="6" t="s">
        <v>119</v>
      </c>
      <c r="L5" s="64"/>
    </row>
    <row r="6" spans="1:12" ht="15" customHeight="1" x14ac:dyDescent="0.2">
      <c r="A6" s="65"/>
      <c r="B6" s="73" t="s">
        <v>257</v>
      </c>
      <c r="E6" s="174">
        <v>1800</v>
      </c>
      <c r="H6" s="73" t="s">
        <v>258</v>
      </c>
      <c r="K6" s="174"/>
      <c r="L6" s="64"/>
    </row>
    <row r="7" spans="1:12" ht="15" customHeight="1" x14ac:dyDescent="0.2">
      <c r="A7" s="65"/>
      <c r="B7" s="73" t="s">
        <v>259</v>
      </c>
      <c r="E7" s="175">
        <v>80</v>
      </c>
      <c r="H7" s="73" t="s">
        <v>260</v>
      </c>
      <c r="K7" s="175"/>
      <c r="L7" s="64"/>
    </row>
    <row r="8" spans="1:12" ht="15" customHeight="1" x14ac:dyDescent="0.2">
      <c r="A8" s="65"/>
      <c r="H8" s="73" t="s">
        <v>261</v>
      </c>
      <c r="K8" s="175"/>
      <c r="L8" s="64"/>
    </row>
    <row r="9" spans="1:12" ht="15" customHeight="1" x14ac:dyDescent="0.2">
      <c r="A9" s="65"/>
      <c r="B9" s="6" t="s">
        <v>114</v>
      </c>
      <c r="H9" s="73" t="s">
        <v>262</v>
      </c>
      <c r="K9" s="175"/>
      <c r="L9" s="64"/>
    </row>
    <row r="10" spans="1:12" ht="15" customHeight="1" x14ac:dyDescent="0.2">
      <c r="A10" s="65"/>
      <c r="B10" s="73" t="s">
        <v>257</v>
      </c>
      <c r="E10" s="174"/>
      <c r="L10" s="64"/>
    </row>
    <row r="11" spans="1:12" ht="15" customHeight="1" x14ac:dyDescent="0.2">
      <c r="A11" s="65"/>
      <c r="B11" s="73" t="s">
        <v>259</v>
      </c>
      <c r="E11" s="175"/>
      <c r="H11" s="6" t="s">
        <v>121</v>
      </c>
      <c r="L11" s="64"/>
    </row>
    <row r="12" spans="1:12" ht="15" customHeight="1" x14ac:dyDescent="0.2">
      <c r="A12" s="65"/>
      <c r="H12" s="73" t="s">
        <v>263</v>
      </c>
      <c r="K12" s="174">
        <v>200</v>
      </c>
      <c r="L12" s="64"/>
    </row>
    <row r="13" spans="1:12" ht="15" customHeight="1" x14ac:dyDescent="0.2">
      <c r="A13" s="65"/>
      <c r="B13" s="6" t="s">
        <v>117</v>
      </c>
      <c r="H13" s="73" t="s">
        <v>264</v>
      </c>
      <c r="K13" s="174">
        <v>120</v>
      </c>
      <c r="L13" s="64"/>
    </row>
    <row r="14" spans="1:12" ht="15" customHeight="1" x14ac:dyDescent="0.2">
      <c r="A14" s="65"/>
      <c r="B14" s="73" t="s">
        <v>265</v>
      </c>
      <c r="F14" s="174"/>
      <c r="L14" s="64"/>
    </row>
    <row r="15" spans="1:12" ht="12.75" customHeight="1" x14ac:dyDescent="0.2">
      <c r="A15" s="65"/>
      <c r="B15" s="73" t="s">
        <v>266</v>
      </c>
      <c r="F15" s="175"/>
      <c r="L15" s="64"/>
    </row>
    <row r="16" spans="1:12" x14ac:dyDescent="0.2">
      <c r="A16" s="65"/>
      <c r="B16" s="73" t="s">
        <v>267</v>
      </c>
      <c r="F16" s="175"/>
      <c r="L16" s="64"/>
    </row>
    <row r="17" spans="1:12" ht="15" customHeight="1" x14ac:dyDescent="0.2">
      <c r="A17" s="65"/>
      <c r="B17" s="73" t="s">
        <v>268</v>
      </c>
      <c r="F17" s="175"/>
      <c r="L17" s="64"/>
    </row>
    <row r="18" spans="1:12" ht="15" customHeight="1" thickBot="1" x14ac:dyDescent="0.25">
      <c r="A18" s="178"/>
      <c r="B18" s="66"/>
      <c r="C18" s="66"/>
      <c r="D18" s="66"/>
      <c r="E18" s="66"/>
      <c r="F18" s="66"/>
      <c r="G18" s="66"/>
      <c r="H18" s="66"/>
      <c r="I18" s="66"/>
      <c r="J18" s="66"/>
      <c r="K18" s="66"/>
      <c r="L18" s="67"/>
    </row>
    <row r="19" spans="1:12" ht="15" customHeight="1" x14ac:dyDescent="0.2"/>
    <row r="20" spans="1:12" ht="15" customHeight="1" x14ac:dyDescent="0.2">
      <c r="B20" s="297">
        <f>Summary!A30</f>
        <v>45783</v>
      </c>
    </row>
    <row r="21" spans="1:12" ht="24" customHeight="1" x14ac:dyDescent="0.2"/>
    <row r="22" spans="1:12" ht="22.5" customHeight="1" x14ac:dyDescent="0.2"/>
    <row r="23" spans="1:12" ht="27" customHeight="1" x14ac:dyDescent="0.2"/>
  </sheetData>
  <sheetProtection algorithmName="SHA-512" hashValue="3HTNH8cn2F/xaljuIvOwSFwdJkUUQ1Ohx2LcXwVN0cbC7BThjtnFLArZI2suqHCy/gJXD1IQJcFn/C7vzIS/vA==" saltValue="l77d0nadfZiRLJmkUS/axg==" spinCount="100000" sheet="1" objects="1" scenarios="1"/>
  <mergeCells count="1">
    <mergeCell ref="C1:I1"/>
  </mergeCells>
  <phoneticPr fontId="0" type="noConversion"/>
  <pageMargins left="0.49" right="0.49" top="0.87" bottom="0.89" header="0.5" footer="0.5"/>
  <pageSetup scale="80" orientation="landscape" r:id="rId1"/>
  <headerFooter alignWithMargins="0">
    <oddHeader xml:space="preserve">&amp;C&amp;"Arial,Bold"&amp;12Care Coordination for&amp;10 &amp;12Elderly Virginians Program
October 1, 2025 through September 30, 2026 (FY'26)&amp;"Arial,Regular"&amp;10
</oddHeader>
    <oddFooter>&amp;CPage &amp;P of &amp;N&amp;R&amp;8&amp;F &amp;A
Printed &amp;D</oddFooter>
  </headerFooter>
  <extLst>
    <ext xmlns:x14="http://schemas.microsoft.com/office/spreadsheetml/2009/9/main" uri="{78C0D931-6437-407d-A8EE-F0AAD7539E65}">
      <x14:conditionalFormattings>
        <x14:conditionalFormatting xmlns:xm="http://schemas.microsoft.com/office/excel/2006/main">
          <x14:cfRule type="expression" priority="6" id="{668E1375-CCF9-414E-BA14-263AD02763ED}">
            <xm:f>'Title III'!$H$30&gt;0</xm:f>
            <x14:dxf>
              <fill>
                <patternFill>
                  <bgColor rgb="FFFFFF66"/>
                </patternFill>
              </fill>
            </x14:dxf>
          </x14:cfRule>
          <xm:sqref>E6:E7</xm:sqref>
        </x14:conditionalFormatting>
        <x14:conditionalFormatting xmlns:xm="http://schemas.microsoft.com/office/excel/2006/main">
          <x14:cfRule type="expression" priority="4" id="{05B9B400-6BCF-4BBB-886F-24DC04698406}">
            <xm:f>'Title III'!$I$30&gt;0</xm:f>
            <x14:dxf>
              <fill>
                <patternFill>
                  <bgColor rgb="FFFFFF66"/>
                </patternFill>
              </fill>
            </x14:dxf>
          </x14:cfRule>
          <xm:sqref>E10:E11</xm:sqref>
        </x14:conditionalFormatting>
        <x14:conditionalFormatting xmlns:xm="http://schemas.microsoft.com/office/excel/2006/main">
          <x14:cfRule type="expression" priority="3" id="{2298FD5C-9DEA-4DD1-87DD-B9949D951F95}">
            <xm:f>'Title III'!$J$30&gt;0</xm:f>
            <x14:dxf>
              <fill>
                <patternFill>
                  <bgColor rgb="FFFFFF66"/>
                </patternFill>
              </fill>
            </x14:dxf>
          </x14:cfRule>
          <xm:sqref>F14:F17</xm:sqref>
        </x14:conditionalFormatting>
        <x14:conditionalFormatting xmlns:xm="http://schemas.microsoft.com/office/excel/2006/main">
          <x14:cfRule type="expression" priority="2" id="{F31E408A-942B-4E91-BD67-4FD05FF8515F}">
            <xm:f>'Title III'!$K$30</xm:f>
            <x14:dxf>
              <fill>
                <patternFill>
                  <bgColor rgb="FFFFFF66"/>
                </patternFill>
              </fill>
            </x14:dxf>
          </x14:cfRule>
          <xm:sqref>K6:K9</xm:sqref>
        </x14:conditionalFormatting>
        <x14:conditionalFormatting xmlns:xm="http://schemas.microsoft.com/office/excel/2006/main">
          <x14:cfRule type="expression" priority="1" id="{F2A242C0-04E7-4F49-9227-670AAC9D943F}">
            <xm:f>'Title III'!$M$30&gt;0</xm:f>
            <x14:dxf>
              <fill>
                <patternFill>
                  <bgColor rgb="FFFFFF66"/>
                </patternFill>
              </fill>
            </x14:dxf>
          </x14:cfRule>
          <xm:sqref>K12:K13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zoomScaleNormal="100" workbookViewId="0">
      <selection activeCell="A8" sqref="A8:B8"/>
    </sheetView>
  </sheetViews>
  <sheetFormatPr defaultColWidth="9.140625" defaultRowHeight="12.75" x14ac:dyDescent="0.2"/>
  <cols>
    <col min="1" max="1" width="12.140625" style="73" customWidth="1"/>
    <col min="2" max="2" width="23" style="73" customWidth="1"/>
    <col min="3" max="7" width="13.7109375" style="73" customWidth="1"/>
    <col min="8" max="8" width="14.5703125" style="73" customWidth="1"/>
    <col min="9" max="9" width="13.7109375" style="73" customWidth="1"/>
    <col min="10" max="10" width="9.140625" style="73" hidden="1" customWidth="1"/>
    <col min="11" max="16384" width="9.140625" style="73"/>
  </cols>
  <sheetData>
    <row r="1" spans="1:9" ht="27" customHeight="1" x14ac:dyDescent="0.2">
      <c r="A1" s="6" t="s">
        <v>0</v>
      </c>
      <c r="B1" s="487" t="str">
        <f>Summary!B1</f>
        <v>Piedmont Senior Resources Area Agency on Aging, Inc.</v>
      </c>
      <c r="C1" s="622"/>
      <c r="D1" s="622"/>
      <c r="E1" s="622"/>
      <c r="F1" s="622"/>
      <c r="G1" s="622"/>
      <c r="H1" s="622"/>
      <c r="I1" s="256"/>
    </row>
    <row r="2" spans="1:9" ht="13.5" thickBot="1" x14ac:dyDescent="0.25">
      <c r="A2" s="625"/>
      <c r="B2" s="625"/>
      <c r="C2" s="625"/>
      <c r="D2" s="625"/>
      <c r="E2" s="625"/>
    </row>
    <row r="3" spans="1:9" ht="13.5" thickBot="1" x14ac:dyDescent="0.25">
      <c r="A3" s="626"/>
      <c r="B3" s="627"/>
      <c r="C3" s="632" t="s">
        <v>269</v>
      </c>
      <c r="D3" s="633"/>
      <c r="E3" s="633"/>
      <c r="F3" s="633"/>
      <c r="G3" s="633"/>
      <c r="H3" s="633"/>
      <c r="I3" s="634"/>
    </row>
    <row r="4" spans="1:9" ht="25.5" customHeight="1" x14ac:dyDescent="0.2">
      <c r="A4" s="628"/>
      <c r="B4" s="629"/>
      <c r="C4" s="635" t="s">
        <v>270</v>
      </c>
      <c r="D4" s="635" t="s">
        <v>271</v>
      </c>
      <c r="E4" s="257" t="s">
        <v>272</v>
      </c>
      <c r="F4" s="258" t="s">
        <v>272</v>
      </c>
      <c r="G4" s="258" t="s">
        <v>272</v>
      </c>
      <c r="H4" s="635" t="s">
        <v>273</v>
      </c>
      <c r="I4" s="635" t="s">
        <v>185</v>
      </c>
    </row>
    <row r="5" spans="1:9" s="96" customFormat="1" ht="13.5" thickBot="1" x14ac:dyDescent="0.25">
      <c r="A5" s="630"/>
      <c r="B5" s="631"/>
      <c r="C5" s="636"/>
      <c r="D5" s="636"/>
      <c r="E5" s="259"/>
      <c r="F5" s="260"/>
      <c r="G5" s="261"/>
      <c r="H5" s="636"/>
      <c r="I5" s="636"/>
    </row>
    <row r="6" spans="1:9" s="96" customFormat="1" ht="18.95" customHeight="1" x14ac:dyDescent="0.2">
      <c r="A6" s="640" t="s">
        <v>274</v>
      </c>
      <c r="B6" s="641"/>
      <c r="C6" s="262"/>
      <c r="D6" s="263"/>
      <c r="E6" s="263"/>
      <c r="F6" s="264"/>
      <c r="G6" s="265"/>
      <c r="H6" s="266"/>
      <c r="I6" s="267"/>
    </row>
    <row r="7" spans="1:9" ht="18.95" customHeight="1" x14ac:dyDescent="0.2">
      <c r="A7" s="642" t="s">
        <v>275</v>
      </c>
      <c r="B7" s="551"/>
      <c r="C7" s="268"/>
      <c r="D7" s="269"/>
      <c r="E7" s="269"/>
      <c r="F7" s="269"/>
      <c r="G7" s="269"/>
      <c r="H7" s="270"/>
      <c r="I7" s="271">
        <f>SUM(C7:H7)</f>
        <v>0</v>
      </c>
    </row>
    <row r="8" spans="1:9" ht="18.95" customHeight="1" x14ac:dyDescent="0.2">
      <c r="A8" s="642" t="s">
        <v>276</v>
      </c>
      <c r="B8" s="551"/>
      <c r="C8" s="272"/>
      <c r="D8" s="273"/>
      <c r="E8" s="273"/>
      <c r="F8" s="273"/>
      <c r="G8" s="273"/>
      <c r="H8" s="273"/>
      <c r="I8" s="274">
        <f>SUM(C8:H8)</f>
        <v>0</v>
      </c>
    </row>
    <row r="9" spans="1:9" ht="18.95" customHeight="1" thickBot="1" x14ac:dyDescent="0.25">
      <c r="A9" s="643" t="s">
        <v>277</v>
      </c>
      <c r="B9" s="557"/>
      <c r="C9" s="268"/>
      <c r="D9" s="269"/>
      <c r="E9" s="269"/>
      <c r="F9" s="269"/>
      <c r="G9" s="269"/>
      <c r="H9" s="270"/>
      <c r="I9" s="271">
        <f>SUM(C9:H9)</f>
        <v>0</v>
      </c>
    </row>
    <row r="10" spans="1:9" ht="18.95" customHeight="1" thickBot="1" x14ac:dyDescent="0.25">
      <c r="A10" s="564" t="s">
        <v>278</v>
      </c>
      <c r="B10" s="565"/>
      <c r="C10" s="275">
        <f t="shared" ref="C10:I10" si="0">SUM(C7:C9)</f>
        <v>0</v>
      </c>
      <c r="D10" s="275">
        <f t="shared" si="0"/>
        <v>0</v>
      </c>
      <c r="E10" s="275">
        <f t="shared" si="0"/>
        <v>0</v>
      </c>
      <c r="F10" s="275">
        <f t="shared" si="0"/>
        <v>0</v>
      </c>
      <c r="G10" s="275">
        <f t="shared" si="0"/>
        <v>0</v>
      </c>
      <c r="H10" s="275">
        <f t="shared" si="0"/>
        <v>0</v>
      </c>
      <c r="I10" s="276">
        <f t="shared" si="0"/>
        <v>0</v>
      </c>
    </row>
    <row r="11" spans="1:9" ht="18.95" customHeight="1" x14ac:dyDescent="0.2">
      <c r="A11" s="623" t="s">
        <v>279</v>
      </c>
      <c r="B11" s="624"/>
      <c r="C11" s="277"/>
      <c r="D11" s="278"/>
      <c r="E11" s="279"/>
      <c r="F11" s="279"/>
      <c r="G11" s="279"/>
      <c r="H11" s="280"/>
      <c r="I11" s="280"/>
    </row>
    <row r="12" spans="1:9" s="96" customFormat="1" ht="18.95" customHeight="1" x14ac:dyDescent="0.2">
      <c r="A12" s="639" t="s">
        <v>280</v>
      </c>
      <c r="B12" s="597"/>
      <c r="C12" s="281"/>
      <c r="D12" s="282"/>
      <c r="E12" s="282"/>
      <c r="F12" s="282"/>
      <c r="G12" s="282"/>
      <c r="H12" s="282"/>
      <c r="I12" s="283">
        <f>SUM(C12:H12)</f>
        <v>0</v>
      </c>
    </row>
    <row r="13" spans="1:9" s="96" customFormat="1" ht="18.95" customHeight="1" x14ac:dyDescent="0.2">
      <c r="A13" s="639" t="s">
        <v>281</v>
      </c>
      <c r="B13" s="597"/>
      <c r="C13" s="281"/>
      <c r="D13" s="282"/>
      <c r="E13" s="282"/>
      <c r="F13" s="282"/>
      <c r="G13" s="282"/>
      <c r="H13" s="282"/>
      <c r="I13" s="283">
        <f>SUM(C13:H13)</f>
        <v>0</v>
      </c>
    </row>
    <row r="14" spans="1:9" s="96" customFormat="1" ht="18.95" customHeight="1" x14ac:dyDescent="0.2">
      <c r="A14" s="639" t="s">
        <v>282</v>
      </c>
      <c r="B14" s="597"/>
      <c r="C14" s="281"/>
      <c r="D14" s="282"/>
      <c r="E14" s="282"/>
      <c r="F14" s="282"/>
      <c r="G14" s="282"/>
      <c r="H14" s="282"/>
      <c r="I14" s="283">
        <f>SUM(C14:H14)</f>
        <v>0</v>
      </c>
    </row>
    <row r="15" spans="1:9" ht="18.95" customHeight="1" thickBot="1" x14ac:dyDescent="0.25">
      <c r="A15" s="284" t="s">
        <v>283</v>
      </c>
      <c r="B15" s="285"/>
      <c r="C15" s="268"/>
      <c r="D15" s="269"/>
      <c r="E15" s="269"/>
      <c r="F15" s="269"/>
      <c r="G15" s="269"/>
      <c r="H15" s="270"/>
      <c r="I15" s="271">
        <f>SUM(C15:H15)</f>
        <v>0</v>
      </c>
    </row>
    <row r="16" spans="1:9" ht="18.95" customHeight="1" thickBot="1" x14ac:dyDescent="0.25">
      <c r="A16" s="564" t="s">
        <v>284</v>
      </c>
      <c r="B16" s="565"/>
      <c r="C16" s="275">
        <f t="shared" ref="C16:I16" si="1">SUM(C12:C15)</f>
        <v>0</v>
      </c>
      <c r="D16" s="275">
        <f t="shared" si="1"/>
        <v>0</v>
      </c>
      <c r="E16" s="275">
        <f t="shared" si="1"/>
        <v>0</v>
      </c>
      <c r="F16" s="275">
        <f t="shared" si="1"/>
        <v>0</v>
      </c>
      <c r="G16" s="275">
        <f t="shared" si="1"/>
        <v>0</v>
      </c>
      <c r="H16" s="275">
        <f t="shared" si="1"/>
        <v>0</v>
      </c>
      <c r="I16" s="286">
        <f t="shared" si="1"/>
        <v>0</v>
      </c>
    </row>
    <row r="17" spans="1:9" ht="18.95" customHeight="1" thickBot="1" x14ac:dyDescent="0.25">
      <c r="A17" s="284" t="s">
        <v>285</v>
      </c>
      <c r="B17" s="287"/>
      <c r="C17" s="285"/>
      <c r="D17" s="285"/>
      <c r="E17" s="285"/>
      <c r="F17" s="285"/>
      <c r="G17" s="285"/>
      <c r="H17" s="288"/>
      <c r="I17" s="276">
        <f>SUM(C17:H17)</f>
        <v>0</v>
      </c>
    </row>
    <row r="18" spans="1:9" ht="18.95" customHeight="1" thickBot="1" x14ac:dyDescent="0.25">
      <c r="A18" s="564" t="s">
        <v>185</v>
      </c>
      <c r="B18" s="565"/>
      <c r="C18" s="289">
        <f>+C10+C16+C17</f>
        <v>0</v>
      </c>
      <c r="D18" s="289">
        <f t="shared" ref="D18:I18" si="2">+D10+D16+D17</f>
        <v>0</v>
      </c>
      <c r="E18" s="289">
        <f t="shared" si="2"/>
        <v>0</v>
      </c>
      <c r="F18" s="289">
        <f t="shared" si="2"/>
        <v>0</v>
      </c>
      <c r="G18" s="289">
        <f t="shared" si="2"/>
        <v>0</v>
      </c>
      <c r="H18" s="289">
        <f t="shared" si="2"/>
        <v>0</v>
      </c>
      <c r="I18" s="290">
        <f t="shared" si="2"/>
        <v>0</v>
      </c>
    </row>
    <row r="19" spans="1:9" ht="17.100000000000001" customHeight="1" x14ac:dyDescent="0.2">
      <c r="A19" s="256"/>
      <c r="B19" s="256"/>
      <c r="C19" s="256"/>
      <c r="D19" s="256"/>
      <c r="F19" s="291"/>
      <c r="G19" s="291"/>
      <c r="H19" s="291"/>
    </row>
    <row r="20" spans="1:9" ht="17.100000000000001" customHeight="1" x14ac:dyDescent="0.2">
      <c r="A20" s="602" t="s">
        <v>286</v>
      </c>
      <c r="B20" s="602"/>
      <c r="C20" s="602"/>
      <c r="D20" s="6" t="s">
        <v>82</v>
      </c>
    </row>
    <row r="21" spans="1:9" ht="17.100000000000001" customHeight="1" x14ac:dyDescent="0.2">
      <c r="A21" s="637" t="s">
        <v>287</v>
      </c>
      <c r="B21" s="637"/>
      <c r="C21" s="637"/>
      <c r="D21" s="292" t="str">
        <f>IF(I18=0," ",C18/I18)</f>
        <v xml:space="preserve"> </v>
      </c>
      <c r="F21" s="638"/>
      <c r="G21" s="638"/>
      <c r="H21" s="91"/>
      <c r="I21" s="82"/>
    </row>
    <row r="22" spans="1:9" ht="17.100000000000001" customHeight="1" x14ac:dyDescent="0.2">
      <c r="A22" s="637" t="s">
        <v>288</v>
      </c>
      <c r="B22" s="637"/>
      <c r="C22" s="637"/>
      <c r="D22" s="293" t="str">
        <f>IF(I18=0," ",(D18+E18+F18+G18+H18)/I18)</f>
        <v xml:space="preserve"> </v>
      </c>
      <c r="F22" s="638"/>
      <c r="G22" s="638"/>
      <c r="H22" s="91"/>
      <c r="I22" s="294"/>
    </row>
    <row r="23" spans="1:9" ht="17.100000000000001" customHeight="1" x14ac:dyDescent="0.2">
      <c r="A23" s="73" t="s">
        <v>289</v>
      </c>
      <c r="D23" s="295" t="str">
        <f>IF(I18=0," ",(I17)/I18)</f>
        <v xml:space="preserve"> </v>
      </c>
    </row>
    <row r="24" spans="1:9" x14ac:dyDescent="0.2">
      <c r="A24" s="70"/>
    </row>
    <row r="25" spans="1:9" x14ac:dyDescent="0.2">
      <c r="A25" s="296">
        <f>Summary!A30</f>
        <v>45783</v>
      </c>
    </row>
  </sheetData>
  <sheetProtection algorithmName="SHA-512" hashValue="ptyy8ggwVV8/WYI514HngO10FLrN4ypHQUyXF+2T0viJNOXvRkQSLK7NYL8hPzWVbpVTzQGdNNTTcfoWlBQl3A==" saltValue="+YKW1/xVY6G7mc8I/Jdl4g==" spinCount="100000" sheet="1" objects="1" scenarios="1"/>
  <mergeCells count="24">
    <mergeCell ref="A21:C21"/>
    <mergeCell ref="F21:G21"/>
    <mergeCell ref="A22:C22"/>
    <mergeCell ref="F22:G22"/>
    <mergeCell ref="B1:H1"/>
    <mergeCell ref="A12:B12"/>
    <mergeCell ref="A13:B13"/>
    <mergeCell ref="A14:B14"/>
    <mergeCell ref="A16:B16"/>
    <mergeCell ref="A18:B18"/>
    <mergeCell ref="A20:C20"/>
    <mergeCell ref="A6:B6"/>
    <mergeCell ref="A7:B7"/>
    <mergeCell ref="A8:B8"/>
    <mergeCell ref="A9:B9"/>
    <mergeCell ref="A10:B10"/>
    <mergeCell ref="A11:B11"/>
    <mergeCell ref="A2:E2"/>
    <mergeCell ref="A3:B5"/>
    <mergeCell ref="C3:I3"/>
    <mergeCell ref="C4:C5"/>
    <mergeCell ref="D4:D5"/>
    <mergeCell ref="H4:H5"/>
    <mergeCell ref="I4:I5"/>
  </mergeCells>
  <pageMargins left="0.7" right="0.7" top="0.75" bottom="0.75" header="0.3" footer="0.3"/>
  <pageSetup scale="94" orientation="landscape" r:id="rId1"/>
  <headerFooter>
    <oddHeader>&amp;CRespite Care Initiative Program
Proposed Budget for October 1, 2025 through September 30, 2026 (FY'26)</oddHeader>
    <oddFooter>&amp;CPage &amp;P&amp;RRespite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outlinePr summaryBelow="0" summaryRight="0"/>
    <pageSetUpPr autoPageBreaks="0"/>
  </sheetPr>
  <dimension ref="A1:K36"/>
  <sheetViews>
    <sheetView showOutlineSymbols="0" zoomScaleNormal="100" workbookViewId="0">
      <selection activeCell="A37" sqref="A37"/>
    </sheetView>
  </sheetViews>
  <sheetFormatPr defaultColWidth="9" defaultRowHeight="12.75" x14ac:dyDescent="0.2"/>
  <cols>
    <col min="2" max="2" width="12" customWidth="1"/>
    <col min="3" max="3" width="13.7109375" customWidth="1"/>
    <col min="4" max="4" width="14.7109375" customWidth="1"/>
    <col min="5" max="6" width="11.85546875" customWidth="1"/>
    <col min="7" max="7" width="13.5703125" customWidth="1"/>
    <col min="8" max="8" width="13.140625" customWidth="1"/>
    <col min="11" max="11" width="10.85546875" customWidth="1"/>
    <col min="12" max="14" width="13.140625" customWidth="1"/>
  </cols>
  <sheetData>
    <row r="1" spans="1:11" ht="15.75" x14ac:dyDescent="0.25">
      <c r="A1" s="644" t="s">
        <v>290</v>
      </c>
      <c r="B1" s="644"/>
      <c r="C1" s="644"/>
      <c r="D1" s="644"/>
      <c r="E1" s="644"/>
      <c r="F1" s="644"/>
      <c r="G1" s="644"/>
      <c r="H1" s="644"/>
      <c r="I1" s="644"/>
      <c r="J1" s="143"/>
    </row>
    <row r="2" spans="1:11" ht="15.75" x14ac:dyDescent="0.25">
      <c r="A2" s="184" t="s">
        <v>291</v>
      </c>
      <c r="B2" s="185"/>
      <c r="C2" s="185"/>
      <c r="D2" s="185"/>
      <c r="E2" s="185"/>
      <c r="F2" s="185"/>
      <c r="G2" s="185"/>
      <c r="H2" s="185"/>
      <c r="I2" s="184"/>
    </row>
    <row r="3" spans="1:11" ht="15.75" x14ac:dyDescent="0.25">
      <c r="A3" s="184" t="s">
        <v>292</v>
      </c>
      <c r="B3" s="185"/>
      <c r="C3" s="185"/>
      <c r="D3" s="185"/>
      <c r="E3" s="185"/>
      <c r="F3" s="185"/>
      <c r="G3" s="185"/>
      <c r="H3" s="185"/>
      <c r="I3" s="184"/>
    </row>
    <row r="4" spans="1:11" x14ac:dyDescent="0.2">
      <c r="B4" s="146"/>
      <c r="C4" s="146"/>
      <c r="D4" s="146"/>
      <c r="E4" s="146"/>
      <c r="F4" s="146"/>
      <c r="G4" s="146"/>
      <c r="H4" s="146"/>
    </row>
    <row r="5" spans="1:11" s="144" customFormat="1" x14ac:dyDescent="0.2">
      <c r="A5" s="186"/>
      <c r="B5" s="645" t="s">
        <v>293</v>
      </c>
      <c r="C5" s="645"/>
      <c r="D5" s="645"/>
      <c r="E5" s="645"/>
      <c r="F5" s="645"/>
      <c r="G5" s="645" t="s">
        <v>294</v>
      </c>
      <c r="H5" s="645"/>
      <c r="I5" s="187"/>
      <c r="J5" s="145"/>
      <c r="K5" s="145"/>
    </row>
    <row r="6" spans="1:11" s="4" customFormat="1" ht="44.25" customHeight="1" thickBot="1" x14ac:dyDescent="0.25">
      <c r="A6" s="188" t="s">
        <v>295</v>
      </c>
      <c r="B6" s="189" t="s">
        <v>296</v>
      </c>
      <c r="C6" s="189" t="s">
        <v>297</v>
      </c>
      <c r="D6" s="189" t="s">
        <v>298</v>
      </c>
      <c r="E6" s="189" t="s">
        <v>299</v>
      </c>
      <c r="F6" s="189" t="s">
        <v>300</v>
      </c>
      <c r="G6" s="189" t="s">
        <v>301</v>
      </c>
      <c r="H6" s="189" t="s">
        <v>197</v>
      </c>
      <c r="I6" s="188" t="s">
        <v>295</v>
      </c>
    </row>
    <row r="7" spans="1:11" ht="22.5" customHeight="1" thickTop="1" x14ac:dyDescent="0.2">
      <c r="A7" s="190">
        <v>1</v>
      </c>
      <c r="B7" s="146">
        <v>314383.2</v>
      </c>
      <c r="C7" s="146">
        <v>166771.20000000001</v>
      </c>
      <c r="D7" s="146">
        <v>279380.10399999999</v>
      </c>
      <c r="E7" s="146">
        <v>14091.849418556836</v>
      </c>
      <c r="F7" s="146">
        <v>107863.11199999999</v>
      </c>
      <c r="G7" s="146">
        <v>2478.4720000000002</v>
      </c>
      <c r="H7" s="191">
        <v>13043.944248789037</v>
      </c>
      <c r="I7" s="190">
        <v>1</v>
      </c>
    </row>
    <row r="8" spans="1:11" x14ac:dyDescent="0.2">
      <c r="A8" s="190">
        <v>2</v>
      </c>
      <c r="B8" s="146">
        <v>392422.36800000002</v>
      </c>
      <c r="C8" s="146">
        <v>208244.99200000003</v>
      </c>
      <c r="D8" s="146">
        <v>349027.02400000003</v>
      </c>
      <c r="E8" s="146">
        <v>28618.333046066389</v>
      </c>
      <c r="F8" s="146">
        <v>134685.21600000001</v>
      </c>
      <c r="G8" s="146">
        <v>3087.1360000000004</v>
      </c>
      <c r="H8" s="191">
        <v>12803.821072039937</v>
      </c>
      <c r="I8" s="190">
        <v>2</v>
      </c>
    </row>
    <row r="9" spans="1:11" x14ac:dyDescent="0.2">
      <c r="A9" s="190">
        <v>3</v>
      </c>
      <c r="B9" s="146">
        <v>600114.32799999998</v>
      </c>
      <c r="C9" s="146">
        <v>318192.63199999998</v>
      </c>
      <c r="D9" s="146">
        <v>533721.89599999995</v>
      </c>
      <c r="E9" s="146">
        <v>41462.663206002988</v>
      </c>
      <c r="F9" s="146">
        <v>205963.37599999999</v>
      </c>
      <c r="G9" s="146">
        <v>4723.72</v>
      </c>
      <c r="H9" s="191">
        <v>21064.981902888809</v>
      </c>
      <c r="I9" s="190">
        <v>3</v>
      </c>
    </row>
    <row r="10" spans="1:11" x14ac:dyDescent="0.2">
      <c r="A10" s="190">
        <v>4</v>
      </c>
      <c r="B10" s="146">
        <v>282556.272</v>
      </c>
      <c r="C10" s="146">
        <v>149886.992</v>
      </c>
      <c r="D10" s="146">
        <v>251364.64</v>
      </c>
      <c r="E10" s="146">
        <v>17589.014258899639</v>
      </c>
      <c r="F10" s="146">
        <v>96928.983999999997</v>
      </c>
      <c r="G10" s="146">
        <v>2222.3519999999999</v>
      </c>
      <c r="H10" s="191">
        <v>14955.6941559838</v>
      </c>
      <c r="I10" s="190">
        <v>4</v>
      </c>
    </row>
    <row r="11" spans="1:11" x14ac:dyDescent="0.2">
      <c r="A11" s="190">
        <v>5</v>
      </c>
      <c r="B11" s="146">
        <v>552597.97600000002</v>
      </c>
      <c r="C11" s="146">
        <v>292942.82400000002</v>
      </c>
      <c r="D11" s="146">
        <v>491569.04800000001</v>
      </c>
      <c r="E11" s="146">
        <v>22204.571928513196</v>
      </c>
      <c r="F11" s="146">
        <v>189727.50400000002</v>
      </c>
      <c r="G11" s="146">
        <v>4342.5599999999995</v>
      </c>
      <c r="H11" s="191">
        <v>30125.01407176835</v>
      </c>
      <c r="I11" s="190">
        <v>5</v>
      </c>
    </row>
    <row r="12" spans="1:11" ht="12.75" customHeight="1" x14ac:dyDescent="0.2">
      <c r="A12" s="190">
        <v>6</v>
      </c>
      <c r="B12" s="146">
        <v>534111.92800000007</v>
      </c>
      <c r="C12" s="146">
        <v>283300.576</v>
      </c>
      <c r="D12" s="146">
        <v>474865.25600000005</v>
      </c>
      <c r="E12" s="146">
        <v>7500.6127320571222</v>
      </c>
      <c r="F12" s="146">
        <v>183250.56</v>
      </c>
      <c r="G12" s="146">
        <v>4206.8</v>
      </c>
      <c r="H12" s="191">
        <v>24754.566868706734</v>
      </c>
      <c r="I12" s="190">
        <v>6</v>
      </c>
    </row>
    <row r="13" spans="1:11" x14ac:dyDescent="0.2">
      <c r="A13" s="190">
        <v>7</v>
      </c>
      <c r="B13" s="146">
        <v>424548.05599999998</v>
      </c>
      <c r="C13" s="146">
        <v>225169.79200000002</v>
      </c>
      <c r="D13" s="146">
        <v>377969.17599999998</v>
      </c>
      <c r="E13" s="146">
        <v>12627.845702619325</v>
      </c>
      <c r="F13" s="146">
        <v>145685.05600000001</v>
      </c>
      <c r="G13" s="146">
        <v>3332.0960000000005</v>
      </c>
      <c r="H13" s="191">
        <v>19961.338840522749</v>
      </c>
      <c r="I13" s="190">
        <v>7</v>
      </c>
    </row>
    <row r="14" spans="1:11" x14ac:dyDescent="0.2">
      <c r="A14" s="192" t="s">
        <v>49</v>
      </c>
      <c r="B14" s="146">
        <v>162745.08000000002</v>
      </c>
      <c r="C14" s="146">
        <v>86394.208000000013</v>
      </c>
      <c r="D14" s="146">
        <v>144749.35999999999</v>
      </c>
      <c r="E14" s="146">
        <v>13009.342188944282</v>
      </c>
      <c r="F14" s="146">
        <v>55847.896000000008</v>
      </c>
      <c r="G14" s="146">
        <v>1276.616</v>
      </c>
      <c r="H14" s="191">
        <v>0</v>
      </c>
      <c r="I14" s="192" t="s">
        <v>49</v>
      </c>
    </row>
    <row r="15" spans="1:11" x14ac:dyDescent="0.2">
      <c r="A15" s="192" t="s">
        <v>52</v>
      </c>
      <c r="B15" s="146">
        <v>233980.35200000001</v>
      </c>
      <c r="C15" s="146">
        <v>124083.31200000001</v>
      </c>
      <c r="D15" s="146">
        <v>208315.984</v>
      </c>
      <c r="E15" s="146">
        <v>18336.387914542494</v>
      </c>
      <c r="F15" s="146">
        <v>80272.127999999997</v>
      </c>
      <c r="G15" s="146">
        <v>1835.4639999999999</v>
      </c>
      <c r="H15" s="191">
        <v>0</v>
      </c>
      <c r="I15" s="192" t="s">
        <v>52</v>
      </c>
    </row>
    <row r="16" spans="1:11" ht="12" customHeight="1" x14ac:dyDescent="0.2">
      <c r="A16" s="192" t="s">
        <v>55</v>
      </c>
      <c r="B16" s="146">
        <v>971643.848</v>
      </c>
      <c r="C16" s="146">
        <v>515086.728</v>
      </c>
      <c r="D16" s="146">
        <v>864842.54399999999</v>
      </c>
      <c r="E16" s="146">
        <v>2000</v>
      </c>
      <c r="F16" s="146">
        <v>334160.99199999997</v>
      </c>
      <c r="G16" s="146">
        <v>7597.6640000000007</v>
      </c>
      <c r="H16" s="191">
        <v>74214.51745665865</v>
      </c>
      <c r="I16" s="192" t="s">
        <v>55</v>
      </c>
    </row>
    <row r="17" spans="1:11" ht="12.75" customHeight="1" x14ac:dyDescent="0.2">
      <c r="A17" s="192" t="s">
        <v>58</v>
      </c>
      <c r="B17" s="146">
        <v>207319.91999999998</v>
      </c>
      <c r="C17" s="146">
        <v>109787.224</v>
      </c>
      <c r="D17" s="146">
        <v>184862.61600000001</v>
      </c>
      <c r="E17" s="146">
        <v>2000</v>
      </c>
      <c r="F17" s="146">
        <v>71298.328000000009</v>
      </c>
      <c r="G17" s="146">
        <v>1615.424</v>
      </c>
      <c r="H17" s="191">
        <v>0</v>
      </c>
      <c r="I17" s="192" t="s">
        <v>58</v>
      </c>
    </row>
    <row r="18" spans="1:11" x14ac:dyDescent="0.2">
      <c r="A18" s="192" t="s">
        <v>61</v>
      </c>
      <c r="B18" s="146">
        <v>348439.63199999998</v>
      </c>
      <c r="C18" s="146">
        <v>184400.24800000002</v>
      </c>
      <c r="D18" s="146">
        <v>310713.45600000001</v>
      </c>
      <c r="E18" s="146">
        <v>2000</v>
      </c>
      <c r="F18" s="146">
        <v>119861.74400000001</v>
      </c>
      <c r="G18" s="146">
        <v>2718.0479999999998</v>
      </c>
      <c r="H18" s="191">
        <v>19453.38596663042</v>
      </c>
      <c r="I18" s="192" t="s">
        <v>61</v>
      </c>
    </row>
    <row r="19" spans="1:11" x14ac:dyDescent="0.2">
      <c r="A19" s="190">
        <v>9</v>
      </c>
      <c r="B19" s="146">
        <v>306318.00800000003</v>
      </c>
      <c r="C19" s="146">
        <v>162406.79200000002</v>
      </c>
      <c r="D19" s="146">
        <v>272627.288</v>
      </c>
      <c r="E19" s="146">
        <v>16941.29906317906</v>
      </c>
      <c r="F19" s="146">
        <v>105130.52</v>
      </c>
      <c r="G19" s="146">
        <v>2407.5119999999997</v>
      </c>
      <c r="H19" s="191">
        <v>15195.817332732904</v>
      </c>
      <c r="I19" s="190">
        <v>9</v>
      </c>
    </row>
    <row r="20" spans="1:11" x14ac:dyDescent="0.2">
      <c r="A20" s="190">
        <v>10</v>
      </c>
      <c r="B20" s="146">
        <v>426074.848</v>
      </c>
      <c r="C20" s="146">
        <v>225611.36800000002</v>
      </c>
      <c r="D20" s="146">
        <v>379561.52800000005</v>
      </c>
      <c r="E20" s="146">
        <v>27353.007007158791</v>
      </c>
      <c r="F20" s="146">
        <v>146374.976</v>
      </c>
      <c r="G20" s="146">
        <v>3340.3360000000002</v>
      </c>
      <c r="H20" s="191">
        <v>20981.86234170643</v>
      </c>
      <c r="I20" s="190">
        <v>10</v>
      </c>
    </row>
    <row r="21" spans="1:11" x14ac:dyDescent="0.2">
      <c r="A21" s="190">
        <v>11</v>
      </c>
      <c r="B21" s="146">
        <v>432454.11200000002</v>
      </c>
      <c r="C21" s="146">
        <v>229430.23200000002</v>
      </c>
      <c r="D21" s="146">
        <v>384084.65600000002</v>
      </c>
      <c r="E21" s="146">
        <v>15931.741840381259</v>
      </c>
      <c r="F21" s="146">
        <v>148537.09599999999</v>
      </c>
      <c r="G21" s="146">
        <v>3407.7840000000001</v>
      </c>
      <c r="H21" s="191">
        <v>24015.726324863339</v>
      </c>
      <c r="I21" s="190">
        <v>11</v>
      </c>
    </row>
    <row r="22" spans="1:11" ht="12.75" customHeight="1" x14ac:dyDescent="0.2">
      <c r="A22" s="190">
        <v>12</v>
      </c>
      <c r="B22" s="146">
        <v>842119.32000000007</v>
      </c>
      <c r="C22" s="146">
        <v>446397.22400000005</v>
      </c>
      <c r="D22" s="146">
        <v>749246.79200000002</v>
      </c>
      <c r="E22" s="146">
        <v>61475.764200570535</v>
      </c>
      <c r="F22" s="146">
        <v>289015.55200000003</v>
      </c>
      <c r="G22" s="146">
        <v>6617.1440000000002</v>
      </c>
      <c r="H22" s="191">
        <v>20506.233741607251</v>
      </c>
      <c r="I22" s="190">
        <v>12</v>
      </c>
    </row>
    <row r="23" spans="1:11" x14ac:dyDescent="0.2">
      <c r="A23" s="190">
        <v>13</v>
      </c>
      <c r="B23" s="146">
        <v>350244.38400000002</v>
      </c>
      <c r="C23" s="146">
        <v>185923.83199999999</v>
      </c>
      <c r="D23" s="146">
        <v>311205.04000000004</v>
      </c>
      <c r="E23" s="146">
        <v>25749.446759786108</v>
      </c>
      <c r="F23" s="146">
        <v>120126.224</v>
      </c>
      <c r="G23" s="146">
        <v>2761.2880000000005</v>
      </c>
      <c r="H23" s="191">
        <v>13815.109066425573</v>
      </c>
      <c r="I23" s="190">
        <v>13</v>
      </c>
    </row>
    <row r="24" spans="1:11" x14ac:dyDescent="0.2">
      <c r="A24" s="190">
        <v>14</v>
      </c>
      <c r="B24" s="146">
        <v>422578.136</v>
      </c>
      <c r="C24" s="146">
        <v>224132.16800000001</v>
      </c>
      <c r="D24" s="146">
        <v>376084.76</v>
      </c>
      <c r="E24" s="146">
        <v>31293.365579058733</v>
      </c>
      <c r="F24" s="146">
        <v>144910.992</v>
      </c>
      <c r="G24" s="146">
        <v>3325.6720000000005</v>
      </c>
      <c r="H24" s="191">
        <v>13681.194217853958</v>
      </c>
      <c r="I24" s="190">
        <v>14</v>
      </c>
    </row>
    <row r="25" spans="1:11" x14ac:dyDescent="0.2">
      <c r="A25" s="190">
        <v>15</v>
      </c>
      <c r="B25" s="146">
        <v>1469872.912</v>
      </c>
      <c r="C25" s="146">
        <v>778959.52800000005</v>
      </c>
      <c r="D25" s="146">
        <v>1308490.608</v>
      </c>
      <c r="E25" s="146">
        <v>34893.621937441581</v>
      </c>
      <c r="F25" s="146">
        <v>504874.71200000006</v>
      </c>
      <c r="G25" s="146">
        <v>11526.648000000001</v>
      </c>
      <c r="H25" s="191">
        <v>58339.487339787702</v>
      </c>
      <c r="I25" s="190">
        <v>15</v>
      </c>
    </row>
    <row r="26" spans="1:11" x14ac:dyDescent="0.2">
      <c r="A26" s="190">
        <v>16</v>
      </c>
      <c r="B26" s="146">
        <v>379545.54399999999</v>
      </c>
      <c r="C26" s="146">
        <v>201023.304</v>
      </c>
      <c r="D26" s="146">
        <v>338173.18400000001</v>
      </c>
      <c r="E26" s="146">
        <v>23249.815503318467</v>
      </c>
      <c r="F26" s="146">
        <v>130370</v>
      </c>
      <c r="G26" s="146">
        <v>2973.4319999999998</v>
      </c>
      <c r="H26" s="191">
        <v>18031.117919731903</v>
      </c>
      <c r="I26" s="190">
        <v>16</v>
      </c>
    </row>
    <row r="27" spans="1:11" ht="12.75" customHeight="1" x14ac:dyDescent="0.2">
      <c r="A27" s="192" t="s">
        <v>72</v>
      </c>
      <c r="B27" s="146">
        <v>506195.47200000007</v>
      </c>
      <c r="C27" s="146">
        <v>268340.68799999997</v>
      </c>
      <c r="D27" s="146">
        <v>450898.73600000003</v>
      </c>
      <c r="E27" s="146">
        <v>33797.858571162265</v>
      </c>
      <c r="F27" s="146">
        <v>173604.76799999998</v>
      </c>
      <c r="G27" s="146">
        <v>3981.6480000000001</v>
      </c>
      <c r="H27" s="191">
        <v>87161.475250800882</v>
      </c>
      <c r="I27" s="192" t="s">
        <v>72</v>
      </c>
    </row>
    <row r="28" spans="1:11" x14ac:dyDescent="0.2">
      <c r="A28" s="190">
        <v>19</v>
      </c>
      <c r="B28" s="146">
        <v>417717.38400000002</v>
      </c>
      <c r="C28" s="146">
        <v>221491.83199999999</v>
      </c>
      <c r="D28" s="146">
        <v>371529.848</v>
      </c>
      <c r="E28" s="146">
        <v>22199.261019845988</v>
      </c>
      <c r="F28" s="146">
        <v>143329.79200000002</v>
      </c>
      <c r="G28" s="146">
        <v>3289.5119999999997</v>
      </c>
      <c r="H28" s="191">
        <v>16253.282861108752</v>
      </c>
      <c r="I28" s="190">
        <v>19</v>
      </c>
    </row>
    <row r="29" spans="1:11" x14ac:dyDescent="0.2">
      <c r="A29" s="190">
        <v>20</v>
      </c>
      <c r="B29" s="146">
        <v>1509023.4080000001</v>
      </c>
      <c r="C29" s="146">
        <v>799974.16</v>
      </c>
      <c r="D29" s="146">
        <v>1341103.2320000001</v>
      </c>
      <c r="E29" s="146">
        <v>94936.097096927886</v>
      </c>
      <c r="F29" s="146">
        <v>518160.41600000003</v>
      </c>
      <c r="G29" s="146">
        <v>11870.720000000001</v>
      </c>
      <c r="H29" s="191">
        <v>1.3633267357476496E-2</v>
      </c>
      <c r="I29" s="190">
        <v>20</v>
      </c>
    </row>
    <row r="30" spans="1:11" x14ac:dyDescent="0.2">
      <c r="A30" s="190">
        <v>21</v>
      </c>
      <c r="B30" s="146">
        <v>758048.35199999996</v>
      </c>
      <c r="C30" s="146">
        <v>401904.32800000004</v>
      </c>
      <c r="D30" s="146">
        <v>675105.8</v>
      </c>
      <c r="E30" s="146">
        <v>43901.712849726428</v>
      </c>
      <c r="F30" s="146">
        <v>260158.11200000002</v>
      </c>
      <c r="G30" s="146">
        <v>5945.52</v>
      </c>
      <c r="H30" s="191">
        <v>0</v>
      </c>
      <c r="I30" s="190">
        <v>21</v>
      </c>
    </row>
    <row r="31" spans="1:11" x14ac:dyDescent="0.2">
      <c r="A31" s="190">
        <v>22</v>
      </c>
      <c r="B31" s="146">
        <v>206689.8</v>
      </c>
      <c r="C31" s="146">
        <v>109602.16800000001</v>
      </c>
      <c r="D31" s="146">
        <v>183573.152</v>
      </c>
      <c r="E31" s="146">
        <v>16564.38817524051</v>
      </c>
      <c r="F31" s="146">
        <v>70888.944000000003</v>
      </c>
      <c r="G31" s="146">
        <v>1631.5360000000001</v>
      </c>
      <c r="H31" s="191">
        <v>10513.415386125434</v>
      </c>
      <c r="I31" s="190">
        <v>22</v>
      </c>
    </row>
    <row r="32" spans="1:11" ht="25.5" customHeight="1" x14ac:dyDescent="0.2">
      <c r="A32" s="193" t="s">
        <v>302</v>
      </c>
      <c r="B32" s="194">
        <f>SUM(B7:B31)</f>
        <v>13051744.640000002</v>
      </c>
      <c r="C32" s="194">
        <f t="shared" ref="C32:H32" si="0">SUM(C7:C31)</f>
        <v>6919458.3520000009</v>
      </c>
      <c r="D32" s="194">
        <f t="shared" si="0"/>
        <v>11613065.728</v>
      </c>
      <c r="E32" s="194">
        <f t="shared" si="0"/>
        <v>629727.99999999988</v>
      </c>
      <c r="F32" s="194">
        <f t="shared" si="0"/>
        <v>4481027.0000000009</v>
      </c>
      <c r="G32" s="194">
        <f t="shared" si="0"/>
        <v>102515.10400000002</v>
      </c>
      <c r="H32" s="195">
        <f t="shared" si="0"/>
        <v>528872</v>
      </c>
      <c r="I32" s="193" t="s">
        <v>302</v>
      </c>
      <c r="K32" s="147"/>
    </row>
    <row r="33" spans="1:11" x14ac:dyDescent="0.2">
      <c r="B33" s="146"/>
      <c r="C33" s="146"/>
      <c r="D33" s="146"/>
      <c r="E33" s="146"/>
      <c r="F33" s="146"/>
      <c r="G33" s="146"/>
      <c r="H33" s="146"/>
    </row>
    <row r="34" spans="1:11" x14ac:dyDescent="0.2">
      <c r="B34" s="194"/>
      <c r="C34" s="194"/>
      <c r="D34" s="194"/>
      <c r="E34" s="194"/>
      <c r="F34" s="194"/>
      <c r="G34" s="194"/>
      <c r="H34" s="195"/>
      <c r="I34" s="193"/>
      <c r="K34" s="147"/>
    </row>
    <row r="35" spans="1:11" x14ac:dyDescent="0.2">
      <c r="A35" s="6" t="s">
        <v>303</v>
      </c>
      <c r="B35" s="146"/>
      <c r="C35" s="146"/>
      <c r="D35" s="146"/>
      <c r="E35" s="146"/>
      <c r="F35" s="146"/>
      <c r="G35" s="146"/>
      <c r="H35" s="196"/>
    </row>
    <row r="36" spans="1:11" x14ac:dyDescent="0.2">
      <c r="A36" s="197">
        <v>45797</v>
      </c>
      <c r="B36" s="146"/>
      <c r="C36" s="146"/>
      <c r="D36" s="146"/>
      <c r="E36" s="146"/>
      <c r="F36" s="146"/>
      <c r="G36" s="146"/>
      <c r="H36" s="146"/>
      <c r="K36" s="146"/>
    </row>
  </sheetData>
  <sheetProtection algorithmName="SHA-512" hashValue="wBxUniA+9L0UqhqMEGDohzRPyjPJMCULD4dZG4PYtfK0i1rHZbM7K43mtk8iIEo2vcM18Q6UZYnrMCreBi0D2Q==" saltValue="xIRgKYGLkPGGkMq1MIBGyA==" spinCount="100000" sheet="1" objects="1" scenarios="1"/>
  <mergeCells count="3">
    <mergeCell ref="A1:I1"/>
    <mergeCell ref="B5:F5"/>
    <mergeCell ref="G5:H5"/>
  </mergeCells>
  <pageMargins left="0.78" right="0.61" top="0.41" bottom="0.34" header="0.33333333333333331" footer="0.33333333333333331"/>
  <pageSetup orientation="landscape" horizontalDpi="4294967294" vertic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outlinePr summaryBelow="0" summaryRight="0"/>
    <pageSetUpPr autoPageBreaks="0"/>
  </sheetPr>
  <dimension ref="A1:K41"/>
  <sheetViews>
    <sheetView showOutlineSymbols="0" zoomScaleNormal="100" workbookViewId="0">
      <selection activeCell="A2" sqref="A2:I2"/>
    </sheetView>
  </sheetViews>
  <sheetFormatPr defaultColWidth="9" defaultRowHeight="12.75" x14ac:dyDescent="0.2"/>
  <cols>
    <col min="1" max="1" width="10.42578125" style="148" customWidth="1"/>
    <col min="2" max="8" width="16.7109375" style="154" customWidth="1"/>
    <col min="9" max="9" width="9.140625" style="148" customWidth="1"/>
    <col min="10" max="16384" width="9" style="148"/>
  </cols>
  <sheetData>
    <row r="1" spans="1:11" ht="15.75" x14ac:dyDescent="0.25">
      <c r="A1" s="644" t="s">
        <v>290</v>
      </c>
      <c r="B1" s="644"/>
      <c r="C1" s="644"/>
      <c r="D1" s="644"/>
      <c r="E1" s="644"/>
      <c r="F1" s="644"/>
      <c r="G1" s="644"/>
      <c r="H1" s="644"/>
      <c r="I1" s="644"/>
      <c r="J1" s="143"/>
      <c r="K1" s="143"/>
    </row>
    <row r="2" spans="1:11" ht="15.75" x14ac:dyDescent="0.25">
      <c r="A2" s="649" t="s">
        <v>304</v>
      </c>
      <c r="B2" s="649"/>
      <c r="C2" s="649"/>
      <c r="D2" s="649"/>
      <c r="E2" s="649"/>
      <c r="F2" s="649"/>
      <c r="G2" s="649"/>
      <c r="H2" s="649"/>
      <c r="I2" s="649"/>
    </row>
    <row r="3" spans="1:11" ht="15.75" x14ac:dyDescent="0.25">
      <c r="A3" s="649" t="s">
        <v>305</v>
      </c>
      <c r="B3" s="649"/>
      <c r="C3" s="649"/>
      <c r="D3" s="649"/>
      <c r="E3" s="649"/>
      <c r="F3" s="649"/>
      <c r="G3" s="649"/>
      <c r="H3" s="649"/>
      <c r="I3" s="649"/>
    </row>
    <row r="4" spans="1:11" x14ac:dyDescent="0.2">
      <c r="A4" s="93"/>
      <c r="B4" s="198"/>
      <c r="C4" s="199"/>
      <c r="D4" s="198"/>
      <c r="E4" s="198"/>
      <c r="F4" s="198"/>
      <c r="G4" s="198"/>
      <c r="H4" s="198"/>
      <c r="I4"/>
    </row>
    <row r="5" spans="1:11" s="163" customFormat="1" ht="15" customHeight="1" x14ac:dyDescent="0.2">
      <c r="A5" s="650" t="s">
        <v>295</v>
      </c>
      <c r="B5" s="652" t="s">
        <v>17</v>
      </c>
      <c r="C5" s="654" t="s">
        <v>306</v>
      </c>
      <c r="D5" s="654" t="s">
        <v>19</v>
      </c>
      <c r="E5" s="654" t="s">
        <v>20</v>
      </c>
      <c r="F5" s="654" t="s">
        <v>307</v>
      </c>
      <c r="G5" s="654" t="s">
        <v>22</v>
      </c>
      <c r="H5" s="654" t="s">
        <v>197</v>
      </c>
      <c r="I5" s="650" t="s">
        <v>295</v>
      </c>
    </row>
    <row r="6" spans="1:11" s="163" customFormat="1" ht="13.15" customHeight="1" thickBot="1" x14ac:dyDescent="0.25">
      <c r="A6" s="651"/>
      <c r="B6" s="653"/>
      <c r="C6" s="655"/>
      <c r="D6" s="655"/>
      <c r="E6" s="655"/>
      <c r="F6" s="655"/>
      <c r="G6" s="655"/>
      <c r="H6" s="655"/>
      <c r="I6" s="656"/>
    </row>
    <row r="7" spans="1:11" ht="23.25" customHeight="1" thickTop="1" x14ac:dyDescent="0.2">
      <c r="A7">
        <v>1</v>
      </c>
      <c r="B7" s="164">
        <v>99563.756649667528</v>
      </c>
      <c r="C7" s="164">
        <v>71536.176000000007</v>
      </c>
      <c r="D7" s="164">
        <v>25905.592000000004</v>
      </c>
      <c r="E7" s="164">
        <v>91325.856</v>
      </c>
      <c r="F7" s="164">
        <v>22071.56</v>
      </c>
      <c r="G7" s="9">
        <v>62469.858837064487</v>
      </c>
      <c r="H7" s="164">
        <v>6927.1721729192186</v>
      </c>
      <c r="I7">
        <v>1</v>
      </c>
    </row>
    <row r="8" spans="1:11" x14ac:dyDescent="0.2">
      <c r="A8">
        <v>2</v>
      </c>
      <c r="B8" s="164">
        <v>161843.98636112901</v>
      </c>
      <c r="C8" s="164">
        <v>89194.184000000008</v>
      </c>
      <c r="D8" s="164">
        <v>32305.335999999999</v>
      </c>
      <c r="E8" s="164">
        <v>113895.648</v>
      </c>
      <c r="F8" s="164">
        <v>27669.920000000002</v>
      </c>
      <c r="G8" s="9">
        <v>93657.538286730909</v>
      </c>
      <c r="H8" s="164">
        <v>6799.651343611491</v>
      </c>
      <c r="I8">
        <v>2</v>
      </c>
    </row>
    <row r="9" spans="1:11" x14ac:dyDescent="0.2">
      <c r="A9">
        <v>3</v>
      </c>
      <c r="B9" s="164">
        <v>165398.52188962584</v>
      </c>
      <c r="C9" s="164">
        <v>136460.22399999999</v>
      </c>
      <c r="D9" s="164">
        <v>49421.808000000005</v>
      </c>
      <c r="E9" s="164">
        <v>174238.136</v>
      </c>
      <c r="F9" s="164">
        <v>42247.432000000001</v>
      </c>
      <c r="G9" s="9">
        <v>78068.42355878427</v>
      </c>
      <c r="H9" s="164">
        <v>11186.858336525409</v>
      </c>
      <c r="I9">
        <v>3</v>
      </c>
    </row>
    <row r="10" spans="1:11" x14ac:dyDescent="0.2">
      <c r="A10">
        <v>4</v>
      </c>
      <c r="B10" s="164">
        <v>96234.005721477311</v>
      </c>
      <c r="C10" s="164">
        <v>64200.448000000004</v>
      </c>
      <c r="D10" s="164">
        <v>23252.800000000003</v>
      </c>
      <c r="E10" s="164">
        <v>81980.072000000015</v>
      </c>
      <c r="F10" s="164">
        <v>19912.599999999999</v>
      </c>
      <c r="G10" s="9">
        <v>47737.993544255005</v>
      </c>
      <c r="H10" s="164">
        <v>7942.4341600999678</v>
      </c>
      <c r="I10">
        <v>4</v>
      </c>
    </row>
    <row r="11" spans="1:11" x14ac:dyDescent="0.2">
      <c r="A11">
        <v>5</v>
      </c>
      <c r="B11" s="164">
        <v>137310.77490630164</v>
      </c>
      <c r="C11" s="164">
        <v>125532.17600000001</v>
      </c>
      <c r="D11" s="164">
        <v>45471.063999999998</v>
      </c>
      <c r="E11" s="164">
        <v>160319.296</v>
      </c>
      <c r="F11" s="164">
        <v>39063.487999999998</v>
      </c>
      <c r="G11" s="9">
        <v>46074.119640622681</v>
      </c>
      <c r="H11" s="164">
        <v>15998.317319251571</v>
      </c>
      <c r="I11">
        <v>5</v>
      </c>
    </row>
    <row r="12" spans="1:11" x14ac:dyDescent="0.2">
      <c r="A12">
        <v>6</v>
      </c>
      <c r="B12" s="164">
        <v>164401.33311958454</v>
      </c>
      <c r="C12" s="164">
        <v>121478.24799999999</v>
      </c>
      <c r="D12" s="164">
        <v>43992.944000000003</v>
      </c>
      <c r="E12" s="164">
        <v>155096.33600000001</v>
      </c>
      <c r="F12" s="164">
        <v>37545.023999999998</v>
      </c>
      <c r="G12" s="9">
        <v>49478.142397627875</v>
      </c>
      <c r="H12" s="164">
        <v>13146.264925311449</v>
      </c>
      <c r="I12">
        <v>6</v>
      </c>
    </row>
    <row r="13" spans="1:11" x14ac:dyDescent="0.2">
      <c r="A13">
        <v>7</v>
      </c>
      <c r="B13" s="164">
        <v>134204.80480406544</v>
      </c>
      <c r="C13" s="164">
        <v>96353.752000000008</v>
      </c>
      <c r="D13" s="164">
        <v>34904.415999999997</v>
      </c>
      <c r="E13" s="164">
        <v>123066.12</v>
      </c>
      <c r="F13" s="164">
        <v>30045.351999999999</v>
      </c>
      <c r="G13" s="9">
        <v>43367.25</v>
      </c>
      <c r="H13" s="164">
        <v>10600.75298643797</v>
      </c>
      <c r="I13">
        <v>7</v>
      </c>
    </row>
    <row r="14" spans="1:11" x14ac:dyDescent="0.2">
      <c r="A14" s="200" t="s">
        <v>49</v>
      </c>
      <c r="B14" s="164">
        <v>69667.517301694999</v>
      </c>
      <c r="C14" s="164">
        <v>36933.735999999997</v>
      </c>
      <c r="D14" s="164">
        <v>13379.655999999999</v>
      </c>
      <c r="E14" s="164">
        <v>47181.72</v>
      </c>
      <c r="F14" s="164">
        <v>11525.472000000002</v>
      </c>
      <c r="G14" s="9">
        <v>43367.25</v>
      </c>
      <c r="H14" s="164">
        <v>0</v>
      </c>
      <c r="I14" s="200" t="s">
        <v>49</v>
      </c>
    </row>
    <row r="15" spans="1:11" x14ac:dyDescent="0.2">
      <c r="A15" s="200" t="s">
        <v>52</v>
      </c>
      <c r="B15" s="164">
        <v>65069.47869995315</v>
      </c>
      <c r="C15" s="164">
        <v>53081.168000000005</v>
      </c>
      <c r="D15" s="164">
        <v>19229.832000000002</v>
      </c>
      <c r="E15" s="164">
        <v>67799.335999999996</v>
      </c>
      <c r="F15" s="164">
        <v>16568.144</v>
      </c>
      <c r="G15" s="9">
        <v>43367.25</v>
      </c>
      <c r="H15" s="164">
        <v>0</v>
      </c>
      <c r="I15" s="200" t="s">
        <v>52</v>
      </c>
    </row>
    <row r="16" spans="1:11" x14ac:dyDescent="0.2">
      <c r="A16" s="200" t="s">
        <v>55</v>
      </c>
      <c r="B16" s="164">
        <v>298663.81282970664</v>
      </c>
      <c r="C16" s="164">
        <v>220191.08000000002</v>
      </c>
      <c r="D16" s="164">
        <v>79798.928</v>
      </c>
      <c r="E16" s="164">
        <v>281391.41599999997</v>
      </c>
      <c r="F16" s="164">
        <v>69536.88</v>
      </c>
      <c r="G16" s="9">
        <v>208641.68752083022</v>
      </c>
      <c r="H16" s="164">
        <v>39412.675364671282</v>
      </c>
      <c r="I16" s="200" t="s">
        <v>55</v>
      </c>
    </row>
    <row r="17" spans="1:9" x14ac:dyDescent="0.2">
      <c r="A17" s="200" t="s">
        <v>58</v>
      </c>
      <c r="B17" s="164">
        <v>46222.582695202422</v>
      </c>
      <c r="C17" s="164">
        <v>46876.248000000007</v>
      </c>
      <c r="D17" s="164">
        <v>16992.832000000002</v>
      </c>
      <c r="E17" s="164">
        <v>59927.952000000005</v>
      </c>
      <c r="F17" s="164">
        <v>14927.928</v>
      </c>
      <c r="G17" s="9">
        <v>43367.25</v>
      </c>
      <c r="H17" s="164">
        <v>0</v>
      </c>
      <c r="I17" s="200" t="s">
        <v>58</v>
      </c>
    </row>
    <row r="18" spans="1:9" x14ac:dyDescent="0.2">
      <c r="A18" s="200" t="s">
        <v>61</v>
      </c>
      <c r="B18" s="164">
        <v>77896.655185169206</v>
      </c>
      <c r="C18" s="164">
        <v>78853.656000000003</v>
      </c>
      <c r="D18" s="164">
        <v>28582.743999999999</v>
      </c>
      <c r="E18" s="164">
        <v>100794.45600000001</v>
      </c>
      <c r="F18" s="164">
        <v>25038.095999999998</v>
      </c>
      <c r="G18" s="9">
        <v>43367.25</v>
      </c>
      <c r="H18" s="164">
        <v>10330.997385979315</v>
      </c>
      <c r="I18" s="200" t="s">
        <v>61</v>
      </c>
    </row>
    <row r="19" spans="1:9" x14ac:dyDescent="0.2">
      <c r="A19">
        <v>9</v>
      </c>
      <c r="B19" s="164">
        <v>84271.326329447504</v>
      </c>
      <c r="C19" s="164">
        <v>69582.991999999998</v>
      </c>
      <c r="D19" s="164">
        <v>25204.400000000001</v>
      </c>
      <c r="E19" s="164">
        <v>88861.127999999997</v>
      </c>
      <c r="F19" s="164">
        <v>21627.944000000003</v>
      </c>
      <c r="G19" s="9">
        <v>49058.29267427724</v>
      </c>
      <c r="H19" s="164">
        <v>8069.9549894076963</v>
      </c>
      <c r="I19">
        <v>9</v>
      </c>
    </row>
    <row r="20" spans="1:9" x14ac:dyDescent="0.2">
      <c r="A20">
        <v>10</v>
      </c>
      <c r="B20" s="164">
        <v>94521.074011636738</v>
      </c>
      <c r="C20" s="164">
        <v>96669.936000000002</v>
      </c>
      <c r="D20" s="164">
        <v>35023.896000000001</v>
      </c>
      <c r="E20" s="164">
        <v>123493.408</v>
      </c>
      <c r="F20" s="164">
        <v>30270.112000000001</v>
      </c>
      <c r="G20" s="9">
        <v>46660.694254114162</v>
      </c>
      <c r="H20" s="164">
        <v>11142.716510995811</v>
      </c>
      <c r="I20">
        <v>10</v>
      </c>
    </row>
    <row r="21" spans="1:9" x14ac:dyDescent="0.2">
      <c r="A21">
        <v>11</v>
      </c>
      <c r="B21" s="164">
        <v>161553.7949646363</v>
      </c>
      <c r="C21" s="164">
        <v>98422.432000000001</v>
      </c>
      <c r="D21" s="164">
        <v>35644.096000000005</v>
      </c>
      <c r="E21" s="164">
        <v>125665.34400000001</v>
      </c>
      <c r="F21" s="164">
        <v>30448.144</v>
      </c>
      <c r="G21" s="9">
        <v>43367.25</v>
      </c>
      <c r="H21" s="164">
        <v>12753.893142826131</v>
      </c>
      <c r="I21">
        <v>11</v>
      </c>
    </row>
    <row r="22" spans="1:9" x14ac:dyDescent="0.2">
      <c r="A22">
        <v>12</v>
      </c>
      <c r="B22" s="164">
        <v>185392.79293030879</v>
      </c>
      <c r="C22" s="164">
        <v>191260.77600000001</v>
      </c>
      <c r="D22" s="164">
        <v>69278.928</v>
      </c>
      <c r="E22" s="164">
        <v>244258.848</v>
      </c>
      <c r="F22" s="164">
        <v>59496.128000000004</v>
      </c>
      <c r="G22" s="9">
        <v>43367.25</v>
      </c>
      <c r="H22" s="164">
        <v>10890.127176020891</v>
      </c>
      <c r="I22">
        <v>12</v>
      </c>
    </row>
    <row r="23" spans="1:9" x14ac:dyDescent="0.2">
      <c r="A23">
        <v>13</v>
      </c>
      <c r="B23" s="164">
        <v>144467.79555948381</v>
      </c>
      <c r="C23" s="164">
        <v>79700.160000000003</v>
      </c>
      <c r="D23" s="164">
        <v>28860.984</v>
      </c>
      <c r="E23" s="164">
        <v>101744.79200000002</v>
      </c>
      <c r="F23" s="164">
        <v>24563.648000000001</v>
      </c>
      <c r="G23" s="9">
        <v>43367.25</v>
      </c>
      <c r="H23" s="164">
        <v>7336.7102208882652</v>
      </c>
      <c r="I23">
        <v>13</v>
      </c>
    </row>
    <row r="24" spans="1:9" x14ac:dyDescent="0.2">
      <c r="A24">
        <v>14</v>
      </c>
      <c r="B24" s="164">
        <v>130736.80813313476</v>
      </c>
      <c r="C24" s="164">
        <v>96054.567999999999</v>
      </c>
      <c r="D24" s="164">
        <v>34786.28</v>
      </c>
      <c r="E24" s="164">
        <v>122640.34400000001</v>
      </c>
      <c r="F24" s="164">
        <v>29704.224000000002</v>
      </c>
      <c r="G24" s="9">
        <v>43367.25</v>
      </c>
      <c r="H24" s="164">
        <v>7265.5928353128011</v>
      </c>
      <c r="I24">
        <v>14</v>
      </c>
    </row>
    <row r="25" spans="1:9" x14ac:dyDescent="0.2">
      <c r="A25">
        <v>15</v>
      </c>
      <c r="B25" s="164">
        <v>327721.43233120709</v>
      </c>
      <c r="C25" s="164">
        <v>333522.92800000001</v>
      </c>
      <c r="D25" s="164">
        <v>120834.95999999999</v>
      </c>
      <c r="E25" s="164">
        <v>426054.56800000003</v>
      </c>
      <c r="F25" s="164">
        <v>104381.25600000001</v>
      </c>
      <c r="G25" s="9">
        <v>43367.25</v>
      </c>
      <c r="H25" s="164">
        <v>30982.014762909497</v>
      </c>
      <c r="I25">
        <v>15</v>
      </c>
    </row>
    <row r="26" spans="1:9" x14ac:dyDescent="0.2">
      <c r="A26">
        <v>16</v>
      </c>
      <c r="B26" s="164">
        <v>84131.264656039595</v>
      </c>
      <c r="C26" s="164">
        <v>86062.831999999995</v>
      </c>
      <c r="D26" s="164">
        <v>31182.959999999999</v>
      </c>
      <c r="E26" s="164">
        <v>109952.88800000001</v>
      </c>
      <c r="F26" s="164">
        <v>27000.639999999999</v>
      </c>
      <c r="G26" s="9">
        <v>43367.25</v>
      </c>
      <c r="H26" s="164">
        <v>9575.6817046950891</v>
      </c>
      <c r="I26">
        <v>16</v>
      </c>
    </row>
    <row r="27" spans="1:9" x14ac:dyDescent="0.2">
      <c r="A27" s="200" t="s">
        <v>72</v>
      </c>
      <c r="B27" s="164">
        <v>130326.37585241112</v>
      </c>
      <c r="C27" s="164">
        <v>115018.91200000001</v>
      </c>
      <c r="D27" s="164">
        <v>41657.128000000004</v>
      </c>
      <c r="E27" s="164">
        <v>146862.56</v>
      </c>
      <c r="F27" s="164">
        <v>35622.048000000003</v>
      </c>
      <c r="G27" s="9">
        <v>92398.664116234242</v>
      </c>
      <c r="H27" s="164">
        <v>46288.341500998707</v>
      </c>
      <c r="I27" s="200" t="s">
        <v>72</v>
      </c>
    </row>
    <row r="28" spans="1:9" x14ac:dyDescent="0.2">
      <c r="A28">
        <v>19</v>
      </c>
      <c r="B28" s="164">
        <v>114496.4764772535</v>
      </c>
      <c r="C28" s="164">
        <v>94989.551999999996</v>
      </c>
      <c r="D28" s="164">
        <v>34401.591999999997</v>
      </c>
      <c r="E28" s="164">
        <v>121281.05600000001</v>
      </c>
      <c r="F28" s="164">
        <v>29381.448000000004</v>
      </c>
      <c r="G28" s="9">
        <v>43367.25</v>
      </c>
      <c r="H28" s="164">
        <v>8631.5371030898023</v>
      </c>
      <c r="I28">
        <v>19</v>
      </c>
    </row>
    <row r="29" spans="1:9" ht="12" customHeight="1" x14ac:dyDescent="0.2">
      <c r="A29">
        <v>20</v>
      </c>
      <c r="B29" s="164">
        <v>345381.26173954515</v>
      </c>
      <c r="C29" s="164">
        <v>343034.78399999999</v>
      </c>
      <c r="D29" s="164">
        <v>124248.696</v>
      </c>
      <c r="E29" s="164">
        <v>438054.76800000004</v>
      </c>
      <c r="F29" s="164">
        <v>106517.82399999999</v>
      </c>
      <c r="G29" s="9">
        <v>90633.540279317996</v>
      </c>
      <c r="H29" s="164">
        <v>7.2401405942413965E-3</v>
      </c>
      <c r="I29">
        <v>20</v>
      </c>
    </row>
    <row r="30" spans="1:9" x14ac:dyDescent="0.2">
      <c r="A30">
        <v>21</v>
      </c>
      <c r="B30" s="164">
        <v>203255.15925523415</v>
      </c>
      <c r="C30" s="164">
        <v>171972.04800000001</v>
      </c>
      <c r="D30" s="164">
        <v>62301.016000000003</v>
      </c>
      <c r="E30" s="164">
        <v>219666.64799999999</v>
      </c>
      <c r="F30" s="164">
        <v>53726.296000000002</v>
      </c>
      <c r="G30" s="9">
        <v>77063.349221052646</v>
      </c>
      <c r="H30" s="164">
        <v>0</v>
      </c>
      <c r="I30">
        <v>21</v>
      </c>
    </row>
    <row r="31" spans="1:9" ht="12" customHeight="1" x14ac:dyDescent="0.2">
      <c r="A31">
        <v>22</v>
      </c>
      <c r="B31" s="164">
        <v>46966.103596083776</v>
      </c>
      <c r="C31" s="164">
        <v>47068.816000000006</v>
      </c>
      <c r="D31" s="164">
        <v>17042.704000000002</v>
      </c>
      <c r="E31" s="164">
        <v>60079.8</v>
      </c>
      <c r="F31" s="164">
        <v>14460.560000000001</v>
      </c>
      <c r="G31" s="9">
        <v>43369.3125</v>
      </c>
      <c r="H31" s="164">
        <v>5583.2988179070171</v>
      </c>
      <c r="I31">
        <v>22</v>
      </c>
    </row>
    <row r="32" spans="1:9" ht="26.25" customHeight="1" x14ac:dyDescent="0.2">
      <c r="A32" s="201" t="s">
        <v>302</v>
      </c>
      <c r="B32" s="202">
        <f t="shared" ref="B32:H32" si="0">SUM(B7:B31)</f>
        <v>3569698.8959999997</v>
      </c>
      <c r="C32" s="202">
        <f t="shared" si="0"/>
        <v>2964051.8319999999</v>
      </c>
      <c r="D32" s="202">
        <f t="shared" si="0"/>
        <v>1073705.5919999999</v>
      </c>
      <c r="E32" s="202">
        <f t="shared" si="0"/>
        <v>3785632.4959999998</v>
      </c>
      <c r="F32" s="202">
        <f t="shared" si="0"/>
        <v>923352.16800000006</v>
      </c>
      <c r="G32" s="202">
        <f t="shared" si="0"/>
        <v>1505718.6168309115</v>
      </c>
      <c r="H32" s="202">
        <f t="shared" si="0"/>
        <v>280864.99999999988</v>
      </c>
      <c r="I32" s="201" t="s">
        <v>302</v>
      </c>
    </row>
    <row r="33" spans="1:9" ht="9" customHeight="1" thickBot="1" x14ac:dyDescent="0.25">
      <c r="A33" s="203"/>
      <c r="B33" s="204"/>
      <c r="C33" s="204"/>
      <c r="D33" s="204"/>
      <c r="E33" s="204"/>
      <c r="F33" s="204"/>
      <c r="G33" s="204"/>
      <c r="H33" s="204"/>
      <c r="I33" s="203"/>
    </row>
    <row r="34" spans="1:9" ht="21" customHeight="1" thickTop="1" x14ac:dyDescent="0.2">
      <c r="A34" s="646" t="s">
        <v>308</v>
      </c>
      <c r="B34" s="646"/>
      <c r="C34" s="646"/>
      <c r="D34" s="646"/>
      <c r="E34" s="646"/>
      <c r="F34" s="646"/>
      <c r="G34" s="646"/>
      <c r="H34" s="646"/>
      <c r="I34" s="646"/>
    </row>
    <row r="35" spans="1:9" ht="18" customHeight="1" x14ac:dyDescent="0.2">
      <c r="A35" s="647" t="s">
        <v>309</v>
      </c>
      <c r="B35" s="647"/>
      <c r="C35" s="647"/>
      <c r="D35" s="647"/>
      <c r="E35" s="647"/>
      <c r="F35" s="647"/>
      <c r="G35" s="647"/>
      <c r="H35" s="647"/>
      <c r="I35" s="647"/>
    </row>
    <row r="36" spans="1:9" ht="17.25" customHeight="1" x14ac:dyDescent="0.2">
      <c r="A36" s="648" t="s">
        <v>310</v>
      </c>
      <c r="B36" s="648"/>
      <c r="C36" s="648"/>
      <c r="D36" s="648"/>
      <c r="E36" s="648"/>
      <c r="F36" s="648"/>
      <c r="G36" s="648"/>
      <c r="H36" s="648"/>
      <c r="I36" s="648"/>
    </row>
    <row r="37" spans="1:9" ht="16.899999999999999" customHeight="1" x14ac:dyDescent="0.2">
      <c r="A37" s="377" t="s">
        <v>311</v>
      </c>
      <c r="B37" s="164"/>
      <c r="C37" s="164"/>
      <c r="D37" s="164"/>
      <c r="E37" s="164"/>
      <c r="F37" s="164"/>
      <c r="G37" s="164"/>
      <c r="H37" s="164"/>
    </row>
    <row r="38" spans="1:9" x14ac:dyDescent="0.2">
      <c r="A38" s="194" t="s">
        <v>303</v>
      </c>
      <c r="B38" s="164"/>
      <c r="C38" s="164"/>
      <c r="D38" s="164"/>
      <c r="E38" s="164"/>
      <c r="F38" s="164"/>
      <c r="G38" s="164"/>
      <c r="H38" s="164"/>
    </row>
    <row r="39" spans="1:9" x14ac:dyDescent="0.2">
      <c r="A39" s="205">
        <v>45797</v>
      </c>
      <c r="B39" s="164"/>
      <c r="C39" s="164"/>
      <c r="D39" s="164"/>
      <c r="E39" s="164"/>
      <c r="F39" s="164"/>
      <c r="G39" s="164"/>
      <c r="H39" s="164"/>
    </row>
    <row r="40" spans="1:9" x14ac:dyDescent="0.2">
      <c r="B40" s="164"/>
      <c r="C40" s="164"/>
      <c r="D40" s="164"/>
      <c r="E40" s="164"/>
      <c r="F40" s="164"/>
      <c r="G40" s="164"/>
      <c r="H40" s="164"/>
    </row>
    <row r="41" spans="1:9" x14ac:dyDescent="0.2">
      <c r="B41" s="164"/>
      <c r="C41" s="164"/>
      <c r="D41" s="164"/>
      <c r="E41" s="164"/>
      <c r="F41" s="164"/>
      <c r="G41" s="164"/>
      <c r="H41" s="164"/>
    </row>
  </sheetData>
  <sheetProtection algorithmName="SHA-512" hashValue="fSzPfYdTTQEhKx5s1qAgjECbHxZDTB9NO9IznQtBwipms0o/Eo/OLVhTYFz/Js8EPHG4wJmoqBKbbRyuiTT8Rg==" saltValue="gEOzNgUETI3wDX6ykqXSJQ==" spinCount="100000" sheet="1" objects="1" scenarios="1"/>
  <mergeCells count="15">
    <mergeCell ref="A34:I34"/>
    <mergeCell ref="A35:I35"/>
    <mergeCell ref="A36:I36"/>
    <mergeCell ref="A1:I1"/>
    <mergeCell ref="A2:I2"/>
    <mergeCell ref="A3:I3"/>
    <mergeCell ref="A5:A6"/>
    <mergeCell ref="B5:B6"/>
    <mergeCell ref="C5:C6"/>
    <mergeCell ref="D5:D6"/>
    <mergeCell ref="E5:E6"/>
    <mergeCell ref="F5:F6"/>
    <mergeCell ref="G5:G6"/>
    <mergeCell ref="H5:H6"/>
    <mergeCell ref="I5:I6"/>
  </mergeCells>
  <pageMargins left="0.43" right="0.32" top="0.61" bottom="0.53" header="0.32" footer="0.33333333333333298"/>
  <pageSetup scale="90" orientation="landscape" horizontalDpi="4294967294" verticalDpi="4294967294"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0e571ce1-07d3-4480-bf75-fb9c6ac3b3af">Area Plan</Category>
    <_dlc_DocId xmlns="89461f00-0b74-46d7-ba90-7a84aa4e2ee4">NKAHMF2WWKTP-54631402-1983</_dlc_DocId>
    <_dlc_DocIdUrl xmlns="89461f00-0b74-46d7-ba90-7a84aa4e2ee4">
      <Url>https://sharepoint.wwrc.net/VDAproviders/_layouts/15/DocIdRedir.aspx?ID=NKAHMF2WWKTP-54631402-1983</Url>
      <Description>NKAHMF2WWKTP-54631402-1983</Description>
    </_dlc_DocIdUrl>
    <PublishingExpirationDate xmlns="http://schemas.microsoft.com/sharepoint/v3" xsi:nil="true"/>
    <PublishingStartDate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CDC26EE72F728479819838AE2A89E7E" ma:contentTypeVersion="10" ma:contentTypeDescription="Create a new document." ma:contentTypeScope="" ma:versionID="b8b3b26dded6559a3450a7b34a932c31">
  <xsd:schema xmlns:xsd="http://www.w3.org/2001/XMLSchema" xmlns:xs="http://www.w3.org/2001/XMLSchema" xmlns:p="http://schemas.microsoft.com/office/2006/metadata/properties" xmlns:ns1="http://schemas.microsoft.com/sharepoint/v3" xmlns:ns2="89461f00-0b74-46d7-ba90-7a84aa4e2ee4" xmlns:ns3="0e571ce1-07d3-4480-bf75-fb9c6ac3b3af" targetNamespace="http://schemas.microsoft.com/office/2006/metadata/properties" ma:root="true" ma:fieldsID="124434feb4f7e149dcc8ffcf999c4338" ns1:_="" ns2:_="" ns3:_="">
    <xsd:import namespace="http://schemas.microsoft.com/sharepoint/v3"/>
    <xsd:import namespace="89461f00-0b74-46d7-ba90-7a84aa4e2ee4"/>
    <xsd:import namespace="0e571ce1-07d3-4480-bf75-fb9c6ac3b3af"/>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461f00-0b74-46d7-ba90-7a84aa4e2ee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571ce1-07d3-4480-bf75-fb9c6ac3b3af" elementFormDefault="qualified">
    <xsd:import namespace="http://schemas.microsoft.com/office/2006/documentManagement/types"/>
    <xsd:import namespace="http://schemas.microsoft.com/office/infopath/2007/PartnerControls"/>
    <xsd:element name="Category" ma:index="7" nillable="true" ma:displayName="Category" ma:internalName="Catego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AB437C-4347-4E2C-93E2-4EA773EAC321}">
  <ds:schemaRefs>
    <ds:schemaRef ds:uri="http://schemas.microsoft.com/office/2006/metadata/properties"/>
    <ds:schemaRef ds:uri="http://schemas.microsoft.com/office/infopath/2007/PartnerControls"/>
    <ds:schemaRef ds:uri="0e571ce1-07d3-4480-bf75-fb9c6ac3b3af"/>
    <ds:schemaRef ds:uri="89461f00-0b74-46d7-ba90-7a84aa4e2ee4"/>
    <ds:schemaRef ds:uri="http://schemas.microsoft.com/sharepoint/v3"/>
  </ds:schemaRefs>
</ds:datastoreItem>
</file>

<file path=customXml/itemProps2.xml><?xml version="1.0" encoding="utf-8"?>
<ds:datastoreItem xmlns:ds="http://schemas.openxmlformats.org/officeDocument/2006/customXml" ds:itemID="{7D581A1A-BA77-4708-95F9-9B0D9F3E684C}">
  <ds:schemaRefs>
    <ds:schemaRef ds:uri="http://schemas.microsoft.com/sharepoint/events"/>
  </ds:schemaRefs>
</ds:datastoreItem>
</file>

<file path=customXml/itemProps3.xml><?xml version="1.0" encoding="utf-8"?>
<ds:datastoreItem xmlns:ds="http://schemas.openxmlformats.org/officeDocument/2006/customXml" ds:itemID="{82891392-4520-4138-8F8E-02798DEDDB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461f00-0b74-46d7-ba90-7a84aa4e2ee4"/>
    <ds:schemaRef ds:uri="0e571ce1-07d3-4480-bf75-fb9c6ac3b3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D2C975E-B30D-492E-834D-9E81FE6CC5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Summary</vt:lpstr>
      <vt:lpstr>Requirements</vt:lpstr>
      <vt:lpstr>Title III</vt:lpstr>
      <vt:lpstr>Title III-E</vt:lpstr>
      <vt:lpstr>III-E Grandparents</vt:lpstr>
      <vt:lpstr>CCEVP</vt:lpstr>
      <vt:lpstr>Respite</vt:lpstr>
      <vt:lpstr>FEDERAL</vt:lpstr>
      <vt:lpstr>GENERAL 3-4</vt:lpstr>
      <vt:lpstr>GENERAL 1-4</vt:lpstr>
      <vt:lpstr>NSIP</vt:lpstr>
      <vt:lpstr>DMAS OMB</vt:lpstr>
      <vt:lpstr>'DMAS OMB'!Print_Area</vt:lpstr>
      <vt:lpstr>FEDERAL!Print_Area</vt:lpstr>
      <vt:lpstr>'GENERAL 3-4'!Print_Area</vt:lpstr>
      <vt:lpstr>'III-E Grandparents'!Print_Area</vt:lpstr>
      <vt:lpstr>Requirements!Print_Area</vt:lpstr>
      <vt:lpstr>Summary!Print_Area</vt:lpstr>
      <vt:lpstr>'Title III'!Print_Area</vt:lpstr>
      <vt:lpstr>'Title III-E'!Print_Area</vt:lpstr>
      <vt:lpstr>'III-E Grandparents'!Print_Titles</vt:lpstr>
      <vt:lpstr>'Title III'!Print_Titles</vt:lpstr>
      <vt:lpstr>'Title III-E'!Print_Titles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Area Plan Budget FY26</dc:title>
  <dc:subject/>
  <dc:creator>jsnead</dc:creator>
  <cp:keywords/>
  <dc:description/>
  <cp:lastModifiedBy>Andrijana Reljic</cp:lastModifiedBy>
  <cp:revision/>
  <dcterms:created xsi:type="dcterms:W3CDTF">2001-02-05T16:49:35Z</dcterms:created>
  <dcterms:modified xsi:type="dcterms:W3CDTF">2025-06-24T15:58:12Z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0x010100FCDC26EE72F728479819838AE2A89E7E</vt:lpwstr>
  </property>
  <property fmtid="{D5CDD505-2E9C-101B-9397-08002B2CF9AE}" pid="3" name="_dlc_DocIdItemGuid">
    <vt:lpwstr>32e80ed4-ffd5-49c9-a306-b5a7a5c8de4f</vt:lpwstr>
  </property>
</Properties>
</file>